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3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'Лист1'!$A$2:$C$2</definedName>
  </definedNames>
  <calcPr fullCalcOnLoad="1"/>
</workbook>
</file>

<file path=xl/sharedStrings.xml><?xml version="1.0" encoding="utf-8"?>
<sst xmlns="http://schemas.openxmlformats.org/spreadsheetml/2006/main" count="1567" uniqueCount="186">
  <si>
    <t>1-Я НИЖНЯЯ УЛ. ЛОМОНОСОВ</t>
  </si>
  <si>
    <t>д.1</t>
  </si>
  <si>
    <t>-</t>
  </si>
  <si>
    <t>д.5</t>
  </si>
  <si>
    <t>АЛЕКСАНДРОВСКАЯ УЛ.</t>
  </si>
  <si>
    <t>д.15/14</t>
  </si>
  <si>
    <t>д.17</t>
  </si>
  <si>
    <t>д.20/16</t>
  </si>
  <si>
    <t>д.22/17</t>
  </si>
  <si>
    <t>д.23</t>
  </si>
  <si>
    <t>д.23А</t>
  </si>
  <si>
    <t>д.24</t>
  </si>
  <si>
    <t>д.25</t>
  </si>
  <si>
    <t>д.27</t>
  </si>
  <si>
    <t>д.28</t>
  </si>
  <si>
    <t>д.29</t>
  </si>
  <si>
    <t>д.30</t>
  </si>
  <si>
    <t>д.31</t>
  </si>
  <si>
    <t>д.32А</t>
  </si>
  <si>
    <t>д.32Б</t>
  </si>
  <si>
    <t>д.32В</t>
  </si>
  <si>
    <t>д.33</t>
  </si>
  <si>
    <t>д.36А</t>
  </si>
  <si>
    <t>д.36Б</t>
  </si>
  <si>
    <t>д.36В</t>
  </si>
  <si>
    <t>д.40</t>
  </si>
  <si>
    <t>д.42</t>
  </si>
  <si>
    <t>д.43</t>
  </si>
  <si>
    <t>д.45</t>
  </si>
  <si>
    <t>д.9/21</t>
  </si>
  <si>
    <t>БОГУМИЛОВСКАЯ УЛ.</t>
  </si>
  <si>
    <t>д.13</t>
  </si>
  <si>
    <t>д.15</t>
  </si>
  <si>
    <t>ВЛАДИМИРСКАЯ УЛ.</t>
  </si>
  <si>
    <t>д.12</t>
  </si>
  <si>
    <t>д.16</t>
  </si>
  <si>
    <t>д.16А</t>
  </si>
  <si>
    <t>д.18А</t>
  </si>
  <si>
    <t>д.20/2</t>
  </si>
  <si>
    <t>д.21</t>
  </si>
  <si>
    <t>д.22</t>
  </si>
  <si>
    <t>д.26</t>
  </si>
  <si>
    <t>д.26А</t>
  </si>
  <si>
    <t>д.26Б</t>
  </si>
  <si>
    <t>д.4</t>
  </si>
  <si>
    <t>ДВОРЦОВЫЙ ПР. ЛОМОНОСОВ</t>
  </si>
  <si>
    <t>д.34</t>
  </si>
  <si>
    <t>д.36</t>
  </si>
  <si>
    <t>д.38</t>
  </si>
  <si>
    <t>д.43/6</t>
  </si>
  <si>
    <t>д.45/7</t>
  </si>
  <si>
    <t>д.49</t>
  </si>
  <si>
    <t>д.51</t>
  </si>
  <si>
    <t>д.55/8</t>
  </si>
  <si>
    <t>д.59</t>
  </si>
  <si>
    <t>ДЕГТЯРЕВА УЛ. ЛОМОНОСОВ</t>
  </si>
  <si>
    <t>д.18/1</t>
  </si>
  <si>
    <t>ЕЛЕНИНСКАЯ УЛ. ЛОМОНОСОВ</t>
  </si>
  <si>
    <t>д.26/13</t>
  </si>
  <si>
    <t>д.27/10</t>
  </si>
  <si>
    <t>д.9/1</t>
  </si>
  <si>
    <t>ЖИЛГОРОДОК-12 ЛОМОНОСОВ</t>
  </si>
  <si>
    <t>ЖОРЫ АНТОНЕНКО УЛ.</t>
  </si>
  <si>
    <t>д.14А</t>
  </si>
  <si>
    <t>д.6</t>
  </si>
  <si>
    <t>к.1</t>
  </si>
  <si>
    <t>д.8</t>
  </si>
  <si>
    <t>ЗАВОДСКАЯ УЛ. ЛОМОНОСОВ</t>
  </si>
  <si>
    <t>д.10</t>
  </si>
  <si>
    <t>д.14</t>
  </si>
  <si>
    <t>д.2</t>
  </si>
  <si>
    <t>д.3</t>
  </si>
  <si>
    <t>д.7</t>
  </si>
  <si>
    <t>ИЛИКОВСКИЙ ПР. ЛОМОНОСОВ</t>
  </si>
  <si>
    <t>д.24А</t>
  </si>
  <si>
    <t>д.30/2</t>
  </si>
  <si>
    <t>КИПРЕНСКОГО УЛ.ЛОМОНОСОВ</t>
  </si>
  <si>
    <t>д.54</t>
  </si>
  <si>
    <t>КИРОЧНАЯ УЛ. ЛОМОНОСОВ</t>
  </si>
  <si>
    <t>д.18</t>
  </si>
  <si>
    <t>д.20</t>
  </si>
  <si>
    <t>КОСТЫЛЕВА УЛ. ЛОМОНОСОВ</t>
  </si>
  <si>
    <t>КРАСНОАРМЕЙСКАЯ УЛ.</t>
  </si>
  <si>
    <t>д.37</t>
  </si>
  <si>
    <t>д.37А</t>
  </si>
  <si>
    <t>КРАСНОГО ФЛОТА УЛ.</t>
  </si>
  <si>
    <t>д.1А</t>
  </si>
  <si>
    <t>д.1Б</t>
  </si>
  <si>
    <t>д.20/41</t>
  </si>
  <si>
    <t>д.30А</t>
  </si>
  <si>
    <t>д.32</t>
  </si>
  <si>
    <t>д.7А</t>
  </si>
  <si>
    <t>д.9/46</t>
  </si>
  <si>
    <t>КРОНШТАДТСКАЯ УЛ.</t>
  </si>
  <si>
    <t>д.4А</t>
  </si>
  <si>
    <t>д.6/49</t>
  </si>
  <si>
    <t>ЛЕВИТАНА УЛ. ЛОМОНОСОВ</t>
  </si>
  <si>
    <t>ЛЕСНАЯ УЛ. ЛОМОНОСОВ</t>
  </si>
  <si>
    <t>ЛИТЕЙНАЯ УЛ. ЛОМОНОСОВ</t>
  </si>
  <si>
    <t>ЛОМОНОСОВА УЛ. ЛОМОНОСОВ</t>
  </si>
  <si>
    <t>д.12А</t>
  </si>
  <si>
    <t>МИХАЙЛОВСКАЯ УЛ.</t>
  </si>
  <si>
    <t>д.10/2</t>
  </si>
  <si>
    <t>д.24/22</t>
  </si>
  <si>
    <t>д.5А</t>
  </si>
  <si>
    <t>МОРСКАЯ УЛ. ЛОМОНОСОВ</t>
  </si>
  <si>
    <t>д.84</t>
  </si>
  <si>
    <t>д.84А</t>
  </si>
  <si>
    <t>д.86А</t>
  </si>
  <si>
    <t>НЕКРАСОВА УЛ. ЛОМОНОСОВ</t>
  </si>
  <si>
    <t>к.2</t>
  </si>
  <si>
    <t>ОРАНЖЕРЕЙНАЯ УЛ.</t>
  </si>
  <si>
    <t>ОРАНИЕНБАУМСКИЙ ПР.</t>
  </si>
  <si>
    <t>к.3</t>
  </si>
  <si>
    <t>д.39</t>
  </si>
  <si>
    <t>д.47</t>
  </si>
  <si>
    <t>ПЕТРОВСКИЙ ПЕР.ЛОМОНОСОВ</t>
  </si>
  <si>
    <t>ПИОНЕРЛАГЕРЬ Г.ЛОМОНОСОВ</t>
  </si>
  <si>
    <t>д.74</t>
  </si>
  <si>
    <t>ПОБЕДЫ УЛ. ЛОМОНОСОВ</t>
  </si>
  <si>
    <t>д.11</t>
  </si>
  <si>
    <t>д.11А</t>
  </si>
  <si>
    <t>д.11Б</t>
  </si>
  <si>
    <t>д.16/12</t>
  </si>
  <si>
    <t>д.19</t>
  </si>
  <si>
    <t>д.21А</t>
  </si>
  <si>
    <t>д.22/7</t>
  </si>
  <si>
    <t>д.3А</t>
  </si>
  <si>
    <t>д.9</t>
  </si>
  <si>
    <t>ПРОФСОЮЗНАЯ УЛ.ЛОМОНОСОВ</t>
  </si>
  <si>
    <t>ПУЛЕМЕТЧИКОВ УЛ.</t>
  </si>
  <si>
    <t>д.20А</t>
  </si>
  <si>
    <t>РУБАКИНА УЛ. ЛОМОНОСОВ</t>
  </si>
  <si>
    <t>САФРОНОВА УЛ. ЛОМОНОСОВ</t>
  </si>
  <si>
    <t>СВЯЗИ УЛ. ЛОМОНОСОВ</t>
  </si>
  <si>
    <t>СКУРИДИНА УЛ. ЛОМОНОСОВ</t>
  </si>
  <si>
    <t>ТОКАРЕВА УЛ.</t>
  </si>
  <si>
    <t>ФЕДЮНИНСКОГО УЛ.</t>
  </si>
  <si>
    <t>к.4</t>
  </si>
  <si>
    <t>ЧЕРНИКОВА УЛ. ЛОМОНОСОВ</t>
  </si>
  <si>
    <t>ШВЕЙЦАРСКАЯ УЛ.ЛОМОНОСОВ</t>
  </si>
  <si>
    <t>Улица</t>
  </si>
  <si>
    <t>Дом</t>
  </si>
  <si>
    <t>Корпус</t>
  </si>
  <si>
    <t>Содержание общего имущества  в многоквартирных домах</t>
  </si>
  <si>
    <t>Технические осмотры</t>
  </si>
  <si>
    <t>Общеполезная площадь</t>
  </si>
  <si>
    <t>д.53</t>
  </si>
  <si>
    <t>д.10/19</t>
  </si>
  <si>
    <t>Аварийное обслуживание</t>
  </si>
  <si>
    <t>Подготовка домов к сезонной эксплуатации</t>
  </si>
  <si>
    <t>Услуги по заявочному ремонту</t>
  </si>
  <si>
    <t>Услуги по деретизации и дезинсекции</t>
  </si>
  <si>
    <t>услуги по аренде прямых проводов. Транспортные расходы</t>
  </si>
  <si>
    <t>Очистка вентканалов и дымоходов</t>
  </si>
  <si>
    <t>Замер сопротивления  изоляции проводов</t>
  </si>
  <si>
    <t>Обслуживание ОДС</t>
  </si>
  <si>
    <t>Всего содержание общего имущества</t>
  </si>
  <si>
    <t>Уборка лестничных клетов</t>
  </si>
  <si>
    <t>Очистка кровли от наледи и уборка снега</t>
  </si>
  <si>
    <t>Вывоз ТБО</t>
  </si>
  <si>
    <t>Текущий ремонт общего имущества в многоквартирном доме</t>
  </si>
  <si>
    <t xml:space="preserve"> </t>
  </si>
  <si>
    <t>ремонт кровли</t>
  </si>
  <si>
    <t>Огнезащитная обработка деревянных конструкций</t>
  </si>
  <si>
    <t>ремонт стыков стеновых панелей</t>
  </si>
  <si>
    <t>Ремонт фасадов</t>
  </si>
  <si>
    <t>Изоляция верхней разводки системы отпления</t>
  </si>
  <si>
    <t>Монтаж и замена водосточных труб</t>
  </si>
  <si>
    <t>ремонт отмосток</t>
  </si>
  <si>
    <t>итого текущий ремонт</t>
  </si>
  <si>
    <t>Уборка и санитарно-гигиеническая очистка земельного участка</t>
  </si>
  <si>
    <t>Очистка мусоропроводов</t>
  </si>
  <si>
    <t>Содержание и ремонт переговорно-замочного устройства</t>
  </si>
  <si>
    <t>Содержание и текущий ремонт внутридомовых инженерных систем газоснабжения</t>
  </si>
  <si>
    <t>Содержание и ремонт лифтов</t>
  </si>
  <si>
    <t>Эксплуатация коллективных (общедомовых) приборов учета используемых энергетических ресурсов</t>
  </si>
  <si>
    <t>Диагностирование лифтов</t>
  </si>
  <si>
    <t>Комплексное техническое обслуживание лифтов</t>
  </si>
  <si>
    <t>итого содержание и ремонт лифтов</t>
  </si>
  <si>
    <t>Всего расходов</t>
  </si>
  <si>
    <t>Управление многоквартирным домом</t>
  </si>
  <si>
    <t>Ремонт отмосток</t>
  </si>
  <si>
    <t>Ремонт стыков стеновых панелей</t>
  </si>
  <si>
    <t>Ремонт кровли</t>
  </si>
  <si>
    <t>Ремонт лестничных клеток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</si>
</sst>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52" applyBorder="1">
      <alignment/>
      <protection/>
    </xf>
    <xf numFmtId="0" fontId="19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right" vertical="top"/>
    </xf>
    <xf numFmtId="0" fontId="19" fillId="0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29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19" fillId="33" borderId="12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0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top"/>
    </xf>
    <xf numFmtId="0" fontId="29" fillId="0" borderId="10" xfId="0" applyFont="1" applyFill="1" applyBorder="1" applyAlignment="1">
      <alignment wrapText="1"/>
    </xf>
    <xf numFmtId="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2" fontId="29" fillId="0" borderId="0" xfId="0" applyNumberFormat="1" applyFont="1" applyAlignment="1">
      <alignment/>
    </xf>
    <xf numFmtId="0" fontId="29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>
      <alignment horizontal="right" vertical="top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>
      <alignment horizontal="right" vertical="top" wrapText="1"/>
    </xf>
    <xf numFmtId="0" fontId="19" fillId="0" borderId="10" xfId="52" applyFont="1" applyBorder="1">
      <alignment/>
      <protection/>
    </xf>
    <xf numFmtId="2" fontId="19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2" fillId="0" borderId="14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3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8"/>
  <sheetViews>
    <sheetView tabSelected="1" zoomScalePageLayoutView="0" workbookViewId="0" topLeftCell="A1">
      <selection activeCell="A268" sqref="A268"/>
    </sheetView>
  </sheetViews>
  <sheetFormatPr defaultColWidth="9.140625" defaultRowHeight="15"/>
  <cols>
    <col min="1" max="1" width="34.7109375" style="0" customWidth="1"/>
    <col min="2" max="2" width="9.57421875" style="0" customWidth="1"/>
    <col min="3" max="4" width="11.8515625" style="0" customWidth="1"/>
    <col min="5" max="5" width="13.140625" style="0" customWidth="1"/>
    <col min="6" max="6" width="12.57421875" style="0" customWidth="1"/>
    <col min="7" max="7" width="11.8515625" style="0" customWidth="1"/>
    <col min="8" max="8" width="12.28125" style="0" customWidth="1"/>
    <col min="9" max="9" width="13.28125" style="0" customWidth="1"/>
    <col min="10" max="10" width="14.57421875" style="0" customWidth="1"/>
    <col min="11" max="11" width="10.57421875" style="0" customWidth="1"/>
    <col min="12" max="12" width="10.00390625" style="0" customWidth="1"/>
    <col min="13" max="13" width="9.57421875" style="0" customWidth="1"/>
    <col min="14" max="14" width="13.140625" style="0" customWidth="1"/>
    <col min="15" max="15" width="13.140625" style="31" customWidth="1"/>
    <col min="16" max="16" width="12.57421875" style="14" customWidth="1"/>
    <col min="17" max="17" width="12.28125" style="14" customWidth="1"/>
    <col min="18" max="18" width="11.57421875" style="14" bestFit="1" customWidth="1"/>
    <col min="19" max="20" width="10.57421875" style="0" bestFit="1" customWidth="1"/>
    <col min="21" max="21" width="9.57421875" style="0" bestFit="1" customWidth="1"/>
    <col min="22" max="22" width="11.140625" style="0" customWidth="1"/>
    <col min="24" max="24" width="10.57421875" style="0" customWidth="1"/>
    <col min="25" max="25" width="11.57421875" style="0" customWidth="1"/>
    <col min="26" max="26" width="12.8515625" style="14" customWidth="1"/>
    <col min="27" max="27" width="11.7109375" style="14" customWidth="1"/>
    <col min="28" max="28" width="11.140625" style="14" customWidth="1"/>
    <col min="29" max="29" width="12.57421875" style="14" customWidth="1"/>
    <col min="30" max="30" width="15.00390625" style="14" customWidth="1"/>
    <col min="31" max="32" width="14.57421875" style="0" customWidth="1"/>
    <col min="33" max="34" width="14.57421875" style="14" customWidth="1"/>
    <col min="35" max="35" width="15.7109375" style="14" customWidth="1"/>
    <col min="36" max="36" width="12.57421875" style="14" customWidth="1"/>
  </cols>
  <sheetData>
    <row r="1" spans="5:36" ht="15" customHeight="1">
      <c r="E1" s="47" t="s">
        <v>144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 t="s">
        <v>158</v>
      </c>
      <c r="R1" s="48" t="s">
        <v>160</v>
      </c>
      <c r="S1" s="49" t="s">
        <v>161</v>
      </c>
      <c r="T1" s="50"/>
      <c r="U1" s="50"/>
      <c r="V1" s="50"/>
      <c r="W1" s="50"/>
      <c r="X1" s="50"/>
      <c r="Y1" s="50"/>
      <c r="Z1" s="51"/>
      <c r="AA1" s="52" t="s">
        <v>171</v>
      </c>
      <c r="AB1" s="52" t="s">
        <v>172</v>
      </c>
      <c r="AC1" s="47" t="s">
        <v>173</v>
      </c>
      <c r="AD1" s="47" t="s">
        <v>174</v>
      </c>
      <c r="AE1" s="47" t="s">
        <v>175</v>
      </c>
      <c r="AF1" s="47"/>
      <c r="AG1" s="47"/>
      <c r="AH1" s="52" t="s">
        <v>181</v>
      </c>
      <c r="AI1" s="47" t="s">
        <v>176</v>
      </c>
      <c r="AJ1" s="47" t="s">
        <v>180</v>
      </c>
    </row>
    <row r="2" spans="1:36" ht="90.75" customHeight="1">
      <c r="A2" s="1" t="s">
        <v>141</v>
      </c>
      <c r="B2" s="2" t="s">
        <v>142</v>
      </c>
      <c r="C2" s="2" t="s">
        <v>143</v>
      </c>
      <c r="D2" s="17" t="s">
        <v>146</v>
      </c>
      <c r="E2" s="7" t="s">
        <v>145</v>
      </c>
      <c r="F2" s="7" t="s">
        <v>149</v>
      </c>
      <c r="G2" s="7" t="s">
        <v>150</v>
      </c>
      <c r="H2" s="7" t="s">
        <v>151</v>
      </c>
      <c r="I2" s="13" t="s">
        <v>152</v>
      </c>
      <c r="J2" s="7" t="s">
        <v>153</v>
      </c>
      <c r="K2" s="7" t="s">
        <v>154</v>
      </c>
      <c r="L2" s="7" t="s">
        <v>155</v>
      </c>
      <c r="M2" s="7" t="s">
        <v>156</v>
      </c>
      <c r="N2" s="7" t="s">
        <v>164</v>
      </c>
      <c r="O2" s="15" t="s">
        <v>159</v>
      </c>
      <c r="P2" s="23" t="s">
        <v>157</v>
      </c>
      <c r="Q2" s="48"/>
      <c r="R2" s="48"/>
      <c r="S2" s="27" t="s">
        <v>184</v>
      </c>
      <c r="T2" s="27" t="s">
        <v>183</v>
      </c>
      <c r="U2" s="27" t="s">
        <v>166</v>
      </c>
      <c r="V2" s="7" t="s">
        <v>167</v>
      </c>
      <c r="W2" s="7" t="s">
        <v>168</v>
      </c>
      <c r="X2" s="27" t="s">
        <v>182</v>
      </c>
      <c r="Y2" s="7" t="s">
        <v>185</v>
      </c>
      <c r="Z2" s="25" t="s">
        <v>170</v>
      </c>
      <c r="AA2" s="53"/>
      <c r="AB2" s="53"/>
      <c r="AC2" s="47"/>
      <c r="AD2" s="47"/>
      <c r="AE2" s="27" t="s">
        <v>178</v>
      </c>
      <c r="AF2" s="27" t="s">
        <v>177</v>
      </c>
      <c r="AG2" s="28" t="s">
        <v>179</v>
      </c>
      <c r="AH2" s="53"/>
      <c r="AI2" s="47"/>
      <c r="AJ2" s="47"/>
    </row>
    <row r="3" spans="1:36" ht="15.75">
      <c r="A3" s="3" t="s">
        <v>0</v>
      </c>
      <c r="B3" s="4" t="s">
        <v>1</v>
      </c>
      <c r="C3" s="3" t="s">
        <v>2</v>
      </c>
      <c r="D3" s="18">
        <v>3219.2</v>
      </c>
      <c r="E3" s="11">
        <f>D3*0.36*12</f>
        <v>13906.943999999998</v>
      </c>
      <c r="F3" s="11">
        <f>D3*1.19*12</f>
        <v>45970.17599999999</v>
      </c>
      <c r="G3" s="11">
        <f>D3*1.18*12</f>
        <v>45583.871999999996</v>
      </c>
      <c r="H3" s="11">
        <f>D3*0.26*12</f>
        <v>10043.903999999999</v>
      </c>
      <c r="I3" s="11">
        <f>D3*0.06*12</f>
        <v>2317.8239999999996</v>
      </c>
      <c r="J3" s="11">
        <f>D3*0.18*12</f>
        <v>6953.471999999999</v>
      </c>
      <c r="K3" s="11">
        <f>80*8*4+80*6*2</f>
        <v>3520</v>
      </c>
      <c r="L3" s="8">
        <f>144.73*3</f>
        <v>434.18999999999994</v>
      </c>
      <c r="M3" s="8"/>
      <c r="N3" s="8"/>
      <c r="O3" s="16">
        <f aca="true" t="shared" si="0" ref="O3:O66">D3*0.55*5</f>
        <v>8852.8</v>
      </c>
      <c r="P3" s="24">
        <f>SUM(E3:O3)</f>
        <v>137583.18199999997</v>
      </c>
      <c r="Q3" s="24">
        <f>D3*1.27*5+D3*1.34*7</f>
        <v>50638.016</v>
      </c>
      <c r="R3" s="26">
        <f aca="true" t="shared" si="1" ref="R3:R66">D3*3.18*5+D3*3*7</f>
        <v>118788.47999999998</v>
      </c>
      <c r="S3" s="11">
        <v>27690</v>
      </c>
      <c r="T3" s="11"/>
      <c r="U3" s="11">
        <v>15346</v>
      </c>
      <c r="V3" s="8"/>
      <c r="W3" s="11">
        <f>5*220</f>
        <v>1100</v>
      </c>
      <c r="X3" s="11"/>
      <c r="Y3" s="11"/>
      <c r="Z3" s="24">
        <f>SUM(S3:X3)</f>
        <v>44136</v>
      </c>
      <c r="AA3" s="24">
        <f aca="true" t="shared" si="2" ref="AA3:AA66">D3*1.29*12</f>
        <v>49833.216</v>
      </c>
      <c r="AB3" s="24"/>
      <c r="AC3" s="24">
        <f>D3*0.49*12</f>
        <v>18928.896</v>
      </c>
      <c r="AD3" s="26">
        <f aca="true" t="shared" si="3" ref="AD3:AD66">D3*0.4*7+0.48*5</f>
        <v>9016.16</v>
      </c>
      <c r="AE3" s="8"/>
      <c r="AF3" s="8"/>
      <c r="AG3" s="26"/>
      <c r="AH3" s="24">
        <f aca="true" t="shared" si="4" ref="AH3:AH66">D3*1.18*12</f>
        <v>45583.871999999996</v>
      </c>
      <c r="AI3" s="24">
        <v>57500</v>
      </c>
      <c r="AJ3" s="24">
        <f>P3+Q3+R3+Z3+AA3+AB3+AC3+AD3+AG3+AH3+AI3</f>
        <v>532007.8219999999</v>
      </c>
    </row>
    <row r="4" spans="1:36" ht="15.75">
      <c r="A4" s="3" t="s">
        <v>0</v>
      </c>
      <c r="B4" s="4" t="s">
        <v>3</v>
      </c>
      <c r="C4" s="3" t="s">
        <v>2</v>
      </c>
      <c r="D4" s="18">
        <v>973</v>
      </c>
      <c r="E4" s="11">
        <f aca="true" t="shared" si="5" ref="E4:E67">D4*0.36*12</f>
        <v>4203.36</v>
      </c>
      <c r="F4" s="11">
        <f aca="true" t="shared" si="6" ref="F4:F67">D4*1.19*12</f>
        <v>13894.439999999999</v>
      </c>
      <c r="G4" s="11">
        <f aca="true" t="shared" si="7" ref="G4:G67">D4*1.18*12</f>
        <v>13777.679999999998</v>
      </c>
      <c r="H4" s="11">
        <f aca="true" t="shared" si="8" ref="H4:H67">D4*0.26*12</f>
        <v>3035.76</v>
      </c>
      <c r="I4" s="11">
        <f aca="true" t="shared" si="9" ref="I4:I67">D4*0.06*12</f>
        <v>700.56</v>
      </c>
      <c r="J4" s="11">
        <f aca="true" t="shared" si="10" ref="J4:J67">D4*0.18*12</f>
        <v>2101.68</v>
      </c>
      <c r="K4" s="11">
        <f>16*8*4+16*6*2</f>
        <v>704</v>
      </c>
      <c r="L4" s="8">
        <f>144.73*3</f>
        <v>434.18999999999994</v>
      </c>
      <c r="M4" s="8"/>
      <c r="N4" s="8"/>
      <c r="O4" s="16">
        <f t="shared" si="0"/>
        <v>2675.7500000000005</v>
      </c>
      <c r="P4" s="24">
        <f aca="true" t="shared" si="11" ref="P4:P67">SUM(E4:O4)</f>
        <v>41527.42</v>
      </c>
      <c r="Q4" s="24">
        <f>D4*1.27*5+D4*1.34*7</f>
        <v>15305.29</v>
      </c>
      <c r="R4" s="26">
        <f t="shared" si="1"/>
        <v>35903.7</v>
      </c>
      <c r="S4" s="11">
        <v>7000</v>
      </c>
      <c r="T4" s="11"/>
      <c r="U4" s="11"/>
      <c r="V4" s="8"/>
      <c r="W4" s="11"/>
      <c r="X4" s="11"/>
      <c r="Y4" s="11"/>
      <c r="Z4" s="24">
        <f aca="true" t="shared" si="12" ref="Z4:Z67">SUM(S4:X4)</f>
        <v>7000</v>
      </c>
      <c r="AA4" s="24">
        <f t="shared" si="2"/>
        <v>15062.04</v>
      </c>
      <c r="AB4" s="24"/>
      <c r="AC4" s="24">
        <f>D4*0.49*12</f>
        <v>5721.24</v>
      </c>
      <c r="AD4" s="26">
        <f t="shared" si="3"/>
        <v>2726.8000000000006</v>
      </c>
      <c r="AE4" s="8"/>
      <c r="AF4" s="8"/>
      <c r="AG4" s="26"/>
      <c r="AH4" s="24">
        <f t="shared" si="4"/>
        <v>13777.679999999998</v>
      </c>
      <c r="AI4" s="24">
        <v>57500</v>
      </c>
      <c r="AJ4" s="24">
        <f aca="true" t="shared" si="13" ref="AJ4:AJ67">P4+Q4+R4+Z4+AA4+AB4+AC4+AD4+AG4+AH4+AI4</f>
        <v>194524.17</v>
      </c>
    </row>
    <row r="5" spans="1:36" s="38" customFormat="1" ht="15.75">
      <c r="A5" s="4" t="s">
        <v>4</v>
      </c>
      <c r="B5" s="4" t="s">
        <v>5</v>
      </c>
      <c r="C5" s="4" t="s">
        <v>2</v>
      </c>
      <c r="D5" s="32">
        <v>1010.1</v>
      </c>
      <c r="E5" s="33">
        <f t="shared" si="5"/>
        <v>4363.632</v>
      </c>
      <c r="F5" s="33">
        <f t="shared" si="6"/>
        <v>14424.228</v>
      </c>
      <c r="G5" s="33">
        <f t="shared" si="7"/>
        <v>14303.016</v>
      </c>
      <c r="H5" s="33">
        <f t="shared" si="8"/>
        <v>3151.5120000000006</v>
      </c>
      <c r="I5" s="33">
        <f t="shared" si="9"/>
        <v>727.272</v>
      </c>
      <c r="J5" s="33">
        <f t="shared" si="10"/>
        <v>2181.816</v>
      </c>
      <c r="K5" s="33">
        <f>16*8*4+16*6*2</f>
        <v>704</v>
      </c>
      <c r="L5" s="34">
        <f>144.73*3</f>
        <v>434.18999999999994</v>
      </c>
      <c r="M5" s="34"/>
      <c r="N5" s="34">
        <f>1001*20.77</f>
        <v>20790.77</v>
      </c>
      <c r="O5" s="35">
        <f t="shared" si="0"/>
        <v>2777.7750000000005</v>
      </c>
      <c r="P5" s="36">
        <f t="shared" si="11"/>
        <v>63858.211</v>
      </c>
      <c r="Q5" s="36"/>
      <c r="R5" s="37">
        <f t="shared" si="1"/>
        <v>37272.69</v>
      </c>
      <c r="S5" s="33"/>
      <c r="T5" s="33"/>
      <c r="U5" s="33"/>
      <c r="V5" s="34"/>
      <c r="W5" s="33"/>
      <c r="X5" s="33"/>
      <c r="Y5" s="33"/>
      <c r="Z5" s="36">
        <f t="shared" si="12"/>
        <v>0</v>
      </c>
      <c r="AA5" s="36">
        <f t="shared" si="2"/>
        <v>15636.348</v>
      </c>
      <c r="AB5" s="36"/>
      <c r="AC5" s="36"/>
      <c r="AD5" s="37">
        <f t="shared" si="3"/>
        <v>2830.6800000000003</v>
      </c>
      <c r="AE5" s="34"/>
      <c r="AF5" s="34"/>
      <c r="AG5" s="37"/>
      <c r="AH5" s="36">
        <f t="shared" si="4"/>
        <v>14303.016</v>
      </c>
      <c r="AI5" s="36">
        <v>57500</v>
      </c>
      <c r="AJ5" s="36">
        <f t="shared" si="13"/>
        <v>191400.945</v>
      </c>
    </row>
    <row r="6" spans="1:36" s="38" customFormat="1" ht="15.75">
      <c r="A6" s="4" t="s">
        <v>4</v>
      </c>
      <c r="B6" s="4" t="s">
        <v>6</v>
      </c>
      <c r="C6" s="4" t="s">
        <v>2</v>
      </c>
      <c r="D6" s="32">
        <v>1026.5</v>
      </c>
      <c r="E6" s="33">
        <f t="shared" si="5"/>
        <v>4434.48</v>
      </c>
      <c r="F6" s="33">
        <f t="shared" si="6"/>
        <v>14658.419999999998</v>
      </c>
      <c r="G6" s="33">
        <f t="shared" si="7"/>
        <v>14535.24</v>
      </c>
      <c r="H6" s="33">
        <f t="shared" si="8"/>
        <v>3202.68</v>
      </c>
      <c r="I6" s="33">
        <f t="shared" si="9"/>
        <v>739.0799999999999</v>
      </c>
      <c r="J6" s="33">
        <f t="shared" si="10"/>
        <v>2217.24</v>
      </c>
      <c r="K6" s="33">
        <f>8*6*2</f>
        <v>96</v>
      </c>
      <c r="L6" s="34">
        <f>144.73*14</f>
        <v>2026.2199999999998</v>
      </c>
      <c r="M6" s="34"/>
      <c r="N6" s="34">
        <f>1001*20.77</f>
        <v>20790.77</v>
      </c>
      <c r="O6" s="35">
        <f t="shared" si="0"/>
        <v>2822.875</v>
      </c>
      <c r="P6" s="36">
        <f t="shared" si="11"/>
        <v>65523.005000000005</v>
      </c>
      <c r="Q6" s="36"/>
      <c r="R6" s="37">
        <f t="shared" si="1"/>
        <v>37877.85</v>
      </c>
      <c r="S6" s="33"/>
      <c r="T6" s="33"/>
      <c r="U6" s="33">
        <v>220</v>
      </c>
      <c r="V6" s="34"/>
      <c r="W6" s="33"/>
      <c r="X6" s="33"/>
      <c r="Y6" s="33"/>
      <c r="Z6" s="36">
        <f t="shared" si="12"/>
        <v>220</v>
      </c>
      <c r="AA6" s="36">
        <f t="shared" si="2"/>
        <v>15890.22</v>
      </c>
      <c r="AB6" s="36"/>
      <c r="AC6" s="36"/>
      <c r="AD6" s="37">
        <f t="shared" si="3"/>
        <v>2876.6000000000004</v>
      </c>
      <c r="AE6" s="34"/>
      <c r="AF6" s="34"/>
      <c r="AG6" s="37"/>
      <c r="AH6" s="36">
        <f t="shared" si="4"/>
        <v>14535.24</v>
      </c>
      <c r="AI6" s="36">
        <v>57500</v>
      </c>
      <c r="AJ6" s="36">
        <f t="shared" si="13"/>
        <v>194422.915</v>
      </c>
    </row>
    <row r="7" spans="1:36" s="38" customFormat="1" ht="15.75">
      <c r="A7" s="4" t="s">
        <v>4</v>
      </c>
      <c r="B7" s="4" t="s">
        <v>7</v>
      </c>
      <c r="C7" s="4" t="s">
        <v>2</v>
      </c>
      <c r="D7" s="32">
        <v>2668</v>
      </c>
      <c r="E7" s="33">
        <f t="shared" si="5"/>
        <v>11525.76</v>
      </c>
      <c r="F7" s="33">
        <f t="shared" si="6"/>
        <v>38099.04</v>
      </c>
      <c r="G7" s="33">
        <f t="shared" si="7"/>
        <v>37778.88</v>
      </c>
      <c r="H7" s="33">
        <f t="shared" si="8"/>
        <v>8324.16</v>
      </c>
      <c r="I7" s="33">
        <f t="shared" si="9"/>
        <v>1920.9599999999998</v>
      </c>
      <c r="J7" s="33">
        <f t="shared" si="10"/>
        <v>5762.88</v>
      </c>
      <c r="K7" s="33">
        <f>34*8*4+34*6*2</f>
        <v>1496</v>
      </c>
      <c r="L7" s="34">
        <f>144.78*2</f>
        <v>289.56</v>
      </c>
      <c r="M7" s="34"/>
      <c r="N7" s="34"/>
      <c r="O7" s="35">
        <f t="shared" si="0"/>
        <v>7337</v>
      </c>
      <c r="P7" s="36">
        <f t="shared" si="11"/>
        <v>112534.24</v>
      </c>
      <c r="Q7" s="36">
        <f>D7*1.27*5+D7*1.34*7</f>
        <v>41967.64</v>
      </c>
      <c r="R7" s="37">
        <f t="shared" si="1"/>
        <v>98449.2</v>
      </c>
      <c r="S7" s="33">
        <v>7500</v>
      </c>
      <c r="T7" s="33"/>
      <c r="U7" s="33"/>
      <c r="V7" s="34"/>
      <c r="W7" s="33"/>
      <c r="X7" s="33"/>
      <c r="Y7" s="33"/>
      <c r="Z7" s="36">
        <f t="shared" si="12"/>
        <v>7500</v>
      </c>
      <c r="AA7" s="36">
        <f t="shared" si="2"/>
        <v>41300.64</v>
      </c>
      <c r="AB7" s="36"/>
      <c r="AC7" s="36">
        <f aca="true" t="shared" si="14" ref="AC7:AC25">D7*0.49*12</f>
        <v>15687.84</v>
      </c>
      <c r="AD7" s="37">
        <f t="shared" si="3"/>
        <v>7472.8</v>
      </c>
      <c r="AE7" s="34"/>
      <c r="AF7" s="34"/>
      <c r="AG7" s="37"/>
      <c r="AH7" s="36">
        <f t="shared" si="4"/>
        <v>37778.88</v>
      </c>
      <c r="AI7" s="36">
        <v>57500</v>
      </c>
      <c r="AJ7" s="36">
        <f t="shared" si="13"/>
        <v>420191.24000000005</v>
      </c>
    </row>
    <row r="8" spans="1:36" s="38" customFormat="1" ht="15.75">
      <c r="A8" s="4" t="s">
        <v>4</v>
      </c>
      <c r="B8" s="4" t="s">
        <v>8</v>
      </c>
      <c r="C8" s="4" t="s">
        <v>2</v>
      </c>
      <c r="D8" s="32">
        <v>2702.2</v>
      </c>
      <c r="E8" s="33">
        <f t="shared" si="5"/>
        <v>11673.503999999999</v>
      </c>
      <c r="F8" s="33">
        <f t="shared" si="6"/>
        <v>38587.416</v>
      </c>
      <c r="G8" s="33">
        <f t="shared" si="7"/>
        <v>38263.151999999995</v>
      </c>
      <c r="H8" s="33">
        <f t="shared" si="8"/>
        <v>8430.864</v>
      </c>
      <c r="I8" s="33">
        <f t="shared" si="9"/>
        <v>1945.5839999999998</v>
      </c>
      <c r="J8" s="33">
        <f t="shared" si="10"/>
        <v>5836.7519999999995</v>
      </c>
      <c r="K8" s="33">
        <f>34*8*4+34*6*2</f>
        <v>1496</v>
      </c>
      <c r="L8" s="34">
        <f>144.73*3</f>
        <v>434.18999999999994</v>
      </c>
      <c r="M8" s="34"/>
      <c r="N8" s="34"/>
      <c r="O8" s="35">
        <f t="shared" si="0"/>
        <v>7431.05</v>
      </c>
      <c r="P8" s="36">
        <f t="shared" si="11"/>
        <v>114098.51199999999</v>
      </c>
      <c r="Q8" s="36">
        <f>D8*1.27*5+D8*1.34*7</f>
        <v>42505.606</v>
      </c>
      <c r="R8" s="37">
        <f t="shared" si="1"/>
        <v>99711.18</v>
      </c>
      <c r="S8" s="33">
        <v>15000</v>
      </c>
      <c r="T8" s="33"/>
      <c r="U8" s="33">
        <v>300</v>
      </c>
      <c r="V8" s="34"/>
      <c r="W8" s="33"/>
      <c r="X8" s="33"/>
      <c r="Y8" s="33"/>
      <c r="Z8" s="36">
        <f t="shared" si="12"/>
        <v>15300</v>
      </c>
      <c r="AA8" s="36">
        <f t="shared" si="2"/>
        <v>41830.056</v>
      </c>
      <c r="AB8" s="36"/>
      <c r="AC8" s="36">
        <f t="shared" si="14"/>
        <v>15888.936</v>
      </c>
      <c r="AD8" s="37">
        <f t="shared" si="3"/>
        <v>7568.559999999999</v>
      </c>
      <c r="AE8" s="34"/>
      <c r="AF8" s="34"/>
      <c r="AG8" s="37"/>
      <c r="AH8" s="36">
        <f t="shared" si="4"/>
        <v>38263.151999999995</v>
      </c>
      <c r="AI8" s="36">
        <v>57500</v>
      </c>
      <c r="AJ8" s="36">
        <f t="shared" si="13"/>
        <v>432666.0019999999</v>
      </c>
    </row>
    <row r="9" spans="1:36" s="38" customFormat="1" ht="15.75">
      <c r="A9" s="4" t="s">
        <v>4</v>
      </c>
      <c r="B9" s="4" t="s">
        <v>9</v>
      </c>
      <c r="C9" s="4" t="s">
        <v>2</v>
      </c>
      <c r="D9" s="32">
        <v>2739.1</v>
      </c>
      <c r="E9" s="33">
        <f t="shared" si="5"/>
        <v>11832.911999999998</v>
      </c>
      <c r="F9" s="33">
        <f t="shared" si="6"/>
        <v>39114.348</v>
      </c>
      <c r="G9" s="33">
        <f t="shared" si="7"/>
        <v>38785.656</v>
      </c>
      <c r="H9" s="33">
        <f t="shared" si="8"/>
        <v>8545.992</v>
      </c>
      <c r="I9" s="33">
        <f t="shared" si="9"/>
        <v>1972.1519999999996</v>
      </c>
      <c r="J9" s="33">
        <f t="shared" si="10"/>
        <v>5916.455999999999</v>
      </c>
      <c r="K9" s="33">
        <f>56*8*4+56*2*6</f>
        <v>2464</v>
      </c>
      <c r="L9" s="34">
        <f>144.73*66</f>
        <v>9552.179999999998</v>
      </c>
      <c r="M9" s="34"/>
      <c r="N9" s="34"/>
      <c r="O9" s="35">
        <f t="shared" si="0"/>
        <v>7532.525000000001</v>
      </c>
      <c r="P9" s="36">
        <f t="shared" si="11"/>
        <v>125716.22099999999</v>
      </c>
      <c r="Q9" s="36">
        <f>D9*1.27*5+D9*1.34*7</f>
        <v>43086.043000000005</v>
      </c>
      <c r="R9" s="37">
        <f t="shared" si="1"/>
        <v>101072.79</v>
      </c>
      <c r="S9" s="33">
        <v>4705</v>
      </c>
      <c r="T9" s="33"/>
      <c r="U9" s="33">
        <v>71590</v>
      </c>
      <c r="V9" s="34"/>
      <c r="W9" s="33"/>
      <c r="X9" s="33">
        <v>107000</v>
      </c>
      <c r="Y9" s="33"/>
      <c r="Z9" s="36">
        <f t="shared" si="12"/>
        <v>183295</v>
      </c>
      <c r="AA9" s="36">
        <f t="shared" si="2"/>
        <v>42401.268</v>
      </c>
      <c r="AB9" s="36"/>
      <c r="AC9" s="36">
        <f t="shared" si="14"/>
        <v>16105.908</v>
      </c>
      <c r="AD9" s="37">
        <f t="shared" si="3"/>
        <v>7671.88</v>
      </c>
      <c r="AE9" s="34"/>
      <c r="AF9" s="34"/>
      <c r="AG9" s="37"/>
      <c r="AH9" s="36">
        <f t="shared" si="4"/>
        <v>38785.656</v>
      </c>
      <c r="AI9" s="36">
        <v>57500</v>
      </c>
      <c r="AJ9" s="36">
        <f t="shared" si="13"/>
        <v>615634.766</v>
      </c>
    </row>
    <row r="10" spans="1:36" s="38" customFormat="1" ht="15.75">
      <c r="A10" s="4" t="s">
        <v>4</v>
      </c>
      <c r="B10" s="4" t="s">
        <v>10</v>
      </c>
      <c r="C10" s="4" t="s">
        <v>2</v>
      </c>
      <c r="D10" s="32">
        <v>1544.3</v>
      </c>
      <c r="E10" s="33">
        <f t="shared" si="5"/>
        <v>6671.376</v>
      </c>
      <c r="F10" s="33">
        <f t="shared" si="6"/>
        <v>22052.604</v>
      </c>
      <c r="G10" s="33">
        <f t="shared" si="7"/>
        <v>21867.288</v>
      </c>
      <c r="H10" s="33">
        <f t="shared" si="8"/>
        <v>4818.216</v>
      </c>
      <c r="I10" s="33">
        <f t="shared" si="9"/>
        <v>1111.8959999999997</v>
      </c>
      <c r="J10" s="33">
        <f t="shared" si="10"/>
        <v>3335.688</v>
      </c>
      <c r="K10" s="33">
        <f>36*8*4+36*6*2</f>
        <v>1584</v>
      </c>
      <c r="L10" s="34">
        <f>44*144.73</f>
        <v>6368.12</v>
      </c>
      <c r="M10" s="34"/>
      <c r="N10" s="34"/>
      <c r="O10" s="35">
        <f t="shared" si="0"/>
        <v>4246.825</v>
      </c>
      <c r="P10" s="36">
        <f t="shared" si="11"/>
        <v>72056.01299999999</v>
      </c>
      <c r="Q10" s="36"/>
      <c r="R10" s="37">
        <f t="shared" si="1"/>
        <v>56984.67</v>
      </c>
      <c r="S10" s="33"/>
      <c r="T10" s="33"/>
      <c r="U10" s="33">
        <v>1800</v>
      </c>
      <c r="V10" s="34">
        <v>57240</v>
      </c>
      <c r="W10" s="33">
        <f>5*220</f>
        <v>1100</v>
      </c>
      <c r="X10" s="33">
        <v>6000</v>
      </c>
      <c r="Y10" s="33"/>
      <c r="Z10" s="36">
        <f t="shared" si="12"/>
        <v>66140</v>
      </c>
      <c r="AA10" s="36">
        <f t="shared" si="2"/>
        <v>23905.764</v>
      </c>
      <c r="AB10" s="36"/>
      <c r="AC10" s="36">
        <f t="shared" si="14"/>
        <v>9080.484</v>
      </c>
      <c r="AD10" s="37">
        <f t="shared" si="3"/>
        <v>4326.44</v>
      </c>
      <c r="AE10" s="34"/>
      <c r="AF10" s="34"/>
      <c r="AG10" s="37"/>
      <c r="AH10" s="36">
        <f t="shared" si="4"/>
        <v>21867.288</v>
      </c>
      <c r="AI10" s="36">
        <v>57500</v>
      </c>
      <c r="AJ10" s="36">
        <f t="shared" si="13"/>
        <v>311860.659</v>
      </c>
    </row>
    <row r="11" spans="1:36" s="38" customFormat="1" ht="15.75">
      <c r="A11" s="4" t="s">
        <v>4</v>
      </c>
      <c r="B11" s="4" t="s">
        <v>11</v>
      </c>
      <c r="C11" s="4" t="s">
        <v>2</v>
      </c>
      <c r="D11" s="32">
        <v>1028.7</v>
      </c>
      <c r="E11" s="33">
        <f t="shared" si="5"/>
        <v>4443.984</v>
      </c>
      <c r="F11" s="33">
        <f t="shared" si="6"/>
        <v>14689.836</v>
      </c>
      <c r="G11" s="33">
        <f t="shared" si="7"/>
        <v>14566.392</v>
      </c>
      <c r="H11" s="33">
        <f t="shared" si="8"/>
        <v>3209.544000000001</v>
      </c>
      <c r="I11" s="33">
        <f t="shared" si="9"/>
        <v>740.664</v>
      </c>
      <c r="J11" s="33">
        <f t="shared" si="10"/>
        <v>2221.992</v>
      </c>
      <c r="K11" s="33">
        <f>8*8*4+8*6*2</f>
        <v>352</v>
      </c>
      <c r="L11" s="34"/>
      <c r="M11" s="34"/>
      <c r="N11" s="34"/>
      <c r="O11" s="35">
        <f t="shared" si="0"/>
        <v>2828.925</v>
      </c>
      <c r="P11" s="36">
        <f t="shared" si="11"/>
        <v>43053.337</v>
      </c>
      <c r="Q11" s="36"/>
      <c r="R11" s="37">
        <f t="shared" si="1"/>
        <v>37959.030000000006</v>
      </c>
      <c r="S11" s="33"/>
      <c r="T11" s="33"/>
      <c r="U11" s="33"/>
      <c r="V11" s="34"/>
      <c r="W11" s="33"/>
      <c r="X11" s="33"/>
      <c r="Y11" s="33"/>
      <c r="Z11" s="36">
        <f t="shared" si="12"/>
        <v>0</v>
      </c>
      <c r="AA11" s="36">
        <f t="shared" si="2"/>
        <v>15924.276000000002</v>
      </c>
      <c r="AB11" s="36"/>
      <c r="AC11" s="36">
        <f t="shared" si="14"/>
        <v>6048.755999999999</v>
      </c>
      <c r="AD11" s="37">
        <f t="shared" si="3"/>
        <v>2882.76</v>
      </c>
      <c r="AE11" s="34"/>
      <c r="AF11" s="34"/>
      <c r="AG11" s="37"/>
      <c r="AH11" s="36">
        <f t="shared" si="4"/>
        <v>14566.392</v>
      </c>
      <c r="AI11" s="36"/>
      <c r="AJ11" s="36">
        <f t="shared" si="13"/>
        <v>120434.55099999998</v>
      </c>
    </row>
    <row r="12" spans="1:36" s="38" customFormat="1" ht="15.75">
      <c r="A12" s="4" t="s">
        <v>4</v>
      </c>
      <c r="B12" s="4" t="s">
        <v>12</v>
      </c>
      <c r="C12" s="4" t="s">
        <v>2</v>
      </c>
      <c r="D12" s="32">
        <v>1479.3</v>
      </c>
      <c r="E12" s="33">
        <f t="shared" si="5"/>
        <v>6390.576</v>
      </c>
      <c r="F12" s="33">
        <f t="shared" si="6"/>
        <v>21124.404</v>
      </c>
      <c r="G12" s="33">
        <f t="shared" si="7"/>
        <v>20946.888</v>
      </c>
      <c r="H12" s="33">
        <f t="shared" si="8"/>
        <v>4615.416</v>
      </c>
      <c r="I12" s="33">
        <f t="shared" si="9"/>
        <v>1065.096</v>
      </c>
      <c r="J12" s="33">
        <f t="shared" si="10"/>
        <v>3195.288</v>
      </c>
      <c r="K12" s="33">
        <f>36*8*4+36*6*2</f>
        <v>1584</v>
      </c>
      <c r="L12" s="34">
        <f>44*144.73</f>
        <v>6368.12</v>
      </c>
      <c r="M12" s="34"/>
      <c r="N12" s="34">
        <f>850*20.77</f>
        <v>17654.5</v>
      </c>
      <c r="O12" s="35">
        <f t="shared" si="0"/>
        <v>4068.075</v>
      </c>
      <c r="P12" s="36">
        <f t="shared" si="11"/>
        <v>87012.363</v>
      </c>
      <c r="Q12" s="36">
        <f aca="true" t="shared" si="15" ref="Q12:Q25">D12*1.27*5+D12*1.34*7</f>
        <v>23269.389000000003</v>
      </c>
      <c r="R12" s="37">
        <f t="shared" si="1"/>
        <v>54586.17</v>
      </c>
      <c r="S12" s="33"/>
      <c r="T12" s="33"/>
      <c r="U12" s="33">
        <v>6270</v>
      </c>
      <c r="V12" s="34">
        <v>41340</v>
      </c>
      <c r="W12" s="33">
        <f>9*220</f>
        <v>1980</v>
      </c>
      <c r="X12" s="33"/>
      <c r="Y12" s="33"/>
      <c r="Z12" s="36">
        <f t="shared" si="12"/>
        <v>49590</v>
      </c>
      <c r="AA12" s="36">
        <f t="shared" si="2"/>
        <v>22899.564</v>
      </c>
      <c r="AB12" s="36"/>
      <c r="AC12" s="36">
        <f t="shared" si="14"/>
        <v>8698.284</v>
      </c>
      <c r="AD12" s="37">
        <f t="shared" si="3"/>
        <v>4144.44</v>
      </c>
      <c r="AE12" s="34"/>
      <c r="AF12" s="34"/>
      <c r="AG12" s="37"/>
      <c r="AH12" s="36">
        <f t="shared" si="4"/>
        <v>20946.888</v>
      </c>
      <c r="AI12" s="36">
        <v>57500</v>
      </c>
      <c r="AJ12" s="36">
        <f t="shared" si="13"/>
        <v>328647.098</v>
      </c>
    </row>
    <row r="13" spans="1:36" s="38" customFormat="1" ht="15.75">
      <c r="A13" s="4" t="s">
        <v>4</v>
      </c>
      <c r="B13" s="4" t="s">
        <v>13</v>
      </c>
      <c r="C13" s="4" t="s">
        <v>2</v>
      </c>
      <c r="D13" s="32">
        <v>3536.9</v>
      </c>
      <c r="E13" s="33">
        <f t="shared" si="5"/>
        <v>15279.408</v>
      </c>
      <c r="F13" s="33">
        <f t="shared" si="6"/>
        <v>50506.932</v>
      </c>
      <c r="G13" s="33">
        <f t="shared" si="7"/>
        <v>50082.50399999999</v>
      </c>
      <c r="H13" s="33">
        <f t="shared" si="8"/>
        <v>11035.128</v>
      </c>
      <c r="I13" s="33">
        <f t="shared" si="9"/>
        <v>2546.568</v>
      </c>
      <c r="J13" s="33">
        <f t="shared" si="10"/>
        <v>7639.704</v>
      </c>
      <c r="K13" s="33">
        <f>80*6*2</f>
        <v>960</v>
      </c>
      <c r="L13" s="34">
        <f>144.73*3</f>
        <v>434.18999999999994</v>
      </c>
      <c r="M13" s="34"/>
      <c r="N13" s="34"/>
      <c r="O13" s="35">
        <f t="shared" si="0"/>
        <v>9726.475000000002</v>
      </c>
      <c r="P13" s="36">
        <f t="shared" si="11"/>
        <v>148210.90899999999</v>
      </c>
      <c r="Q13" s="36">
        <f t="shared" si="15"/>
        <v>55635.437000000005</v>
      </c>
      <c r="R13" s="37">
        <f t="shared" si="1"/>
        <v>130511.61000000002</v>
      </c>
      <c r="S13" s="33">
        <v>35578</v>
      </c>
      <c r="T13" s="33"/>
      <c r="U13" s="33">
        <v>3826</v>
      </c>
      <c r="V13" s="34"/>
      <c r="W13" s="33">
        <f>2.4*220</f>
        <v>528</v>
      </c>
      <c r="X13" s="33"/>
      <c r="Y13" s="33">
        <v>222180</v>
      </c>
      <c r="Z13" s="36">
        <f>SUM(S13:Y13)</f>
        <v>262112</v>
      </c>
      <c r="AA13" s="36">
        <f t="shared" si="2"/>
        <v>54751.21200000001</v>
      </c>
      <c r="AB13" s="36"/>
      <c r="AC13" s="36">
        <f t="shared" si="14"/>
        <v>20796.971999999998</v>
      </c>
      <c r="AD13" s="37">
        <f t="shared" si="3"/>
        <v>9905.720000000001</v>
      </c>
      <c r="AE13" s="34"/>
      <c r="AF13" s="34"/>
      <c r="AG13" s="37"/>
      <c r="AH13" s="36">
        <f t="shared" si="4"/>
        <v>50082.50399999999</v>
      </c>
      <c r="AI13" s="36">
        <v>57500</v>
      </c>
      <c r="AJ13" s="36">
        <f t="shared" si="13"/>
        <v>789506.364</v>
      </c>
    </row>
    <row r="14" spans="1:36" s="38" customFormat="1" ht="15.75">
      <c r="A14" s="4" t="s">
        <v>4</v>
      </c>
      <c r="B14" s="4" t="s">
        <v>14</v>
      </c>
      <c r="C14" s="4" t="s">
        <v>2</v>
      </c>
      <c r="D14" s="32">
        <v>3551.6</v>
      </c>
      <c r="E14" s="33">
        <f t="shared" si="5"/>
        <v>15342.912</v>
      </c>
      <c r="F14" s="33">
        <f t="shared" si="6"/>
        <v>50716.848</v>
      </c>
      <c r="G14" s="33">
        <f t="shared" si="7"/>
        <v>50290.656</v>
      </c>
      <c r="H14" s="33">
        <f t="shared" si="8"/>
        <v>11080.992</v>
      </c>
      <c r="I14" s="33">
        <f t="shared" si="9"/>
        <v>2557.1519999999996</v>
      </c>
      <c r="J14" s="33">
        <f t="shared" si="10"/>
        <v>7671.456</v>
      </c>
      <c r="K14" s="33">
        <f>80*8+80*6*2</f>
        <v>1600</v>
      </c>
      <c r="L14" s="34">
        <f>144.73*3</f>
        <v>434.18999999999994</v>
      </c>
      <c r="M14" s="34"/>
      <c r="N14" s="34"/>
      <c r="O14" s="35">
        <f t="shared" si="0"/>
        <v>9766.900000000001</v>
      </c>
      <c r="P14" s="36">
        <f t="shared" si="11"/>
        <v>149461.106</v>
      </c>
      <c r="Q14" s="36">
        <f t="shared" si="15"/>
        <v>55866.668000000005</v>
      </c>
      <c r="R14" s="37">
        <f t="shared" si="1"/>
        <v>131054.04</v>
      </c>
      <c r="S14" s="33">
        <v>23900</v>
      </c>
      <c r="T14" s="33"/>
      <c r="U14" s="33"/>
      <c r="V14" s="34"/>
      <c r="W14" s="33"/>
      <c r="X14" s="33"/>
      <c r="Y14" s="33"/>
      <c r="Z14" s="36">
        <f t="shared" si="12"/>
        <v>23900</v>
      </c>
      <c r="AA14" s="36">
        <f t="shared" si="2"/>
        <v>54978.768000000004</v>
      </c>
      <c r="AB14" s="36"/>
      <c r="AC14" s="36">
        <f t="shared" si="14"/>
        <v>20883.408</v>
      </c>
      <c r="AD14" s="37">
        <f t="shared" si="3"/>
        <v>9946.880000000001</v>
      </c>
      <c r="AE14" s="34"/>
      <c r="AF14" s="34"/>
      <c r="AG14" s="37"/>
      <c r="AH14" s="36">
        <f t="shared" si="4"/>
        <v>50290.656</v>
      </c>
      <c r="AI14" s="36"/>
      <c r="AJ14" s="36">
        <f t="shared" si="13"/>
        <v>496381.526</v>
      </c>
    </row>
    <row r="15" spans="1:36" s="38" customFormat="1" ht="15.75">
      <c r="A15" s="4" t="s">
        <v>4</v>
      </c>
      <c r="B15" s="4" t="s">
        <v>15</v>
      </c>
      <c r="C15" s="4" t="s">
        <v>2</v>
      </c>
      <c r="D15" s="32">
        <v>3540.7</v>
      </c>
      <c r="E15" s="33">
        <f t="shared" si="5"/>
        <v>15295.823999999997</v>
      </c>
      <c r="F15" s="33">
        <f t="shared" si="6"/>
        <v>50561.195999999996</v>
      </c>
      <c r="G15" s="33">
        <f t="shared" si="7"/>
        <v>50136.312</v>
      </c>
      <c r="H15" s="33">
        <f t="shared" si="8"/>
        <v>11046.984</v>
      </c>
      <c r="I15" s="33">
        <f t="shared" si="9"/>
        <v>2549.3039999999996</v>
      </c>
      <c r="J15" s="33">
        <f t="shared" si="10"/>
        <v>7647.911999999998</v>
      </c>
      <c r="K15" s="33">
        <f>80*6*2</f>
        <v>960</v>
      </c>
      <c r="L15" s="34">
        <f>90*144.73</f>
        <v>13025.699999999999</v>
      </c>
      <c r="M15" s="34"/>
      <c r="N15" s="34"/>
      <c r="O15" s="35">
        <f t="shared" si="0"/>
        <v>9736.925</v>
      </c>
      <c r="P15" s="36">
        <f t="shared" si="11"/>
        <v>160960.157</v>
      </c>
      <c r="Q15" s="36">
        <f t="shared" si="15"/>
        <v>55695.210999999996</v>
      </c>
      <c r="R15" s="37">
        <f t="shared" si="1"/>
        <v>130651.82999999999</v>
      </c>
      <c r="S15" s="33">
        <v>147680</v>
      </c>
      <c r="T15" s="33"/>
      <c r="U15" s="33"/>
      <c r="V15" s="34"/>
      <c r="W15" s="33"/>
      <c r="X15" s="33"/>
      <c r="Y15" s="33">
        <v>225800</v>
      </c>
      <c r="Z15" s="36">
        <f>SUM(S15:Y15)</f>
        <v>373480</v>
      </c>
      <c r="AA15" s="36">
        <f t="shared" si="2"/>
        <v>54810.03599999999</v>
      </c>
      <c r="AB15" s="36"/>
      <c r="AC15" s="36">
        <f t="shared" si="14"/>
        <v>20819.316</v>
      </c>
      <c r="AD15" s="37">
        <f t="shared" si="3"/>
        <v>9916.359999999999</v>
      </c>
      <c r="AE15" s="34"/>
      <c r="AF15" s="34"/>
      <c r="AG15" s="37"/>
      <c r="AH15" s="36">
        <f t="shared" si="4"/>
        <v>50136.312</v>
      </c>
      <c r="AI15" s="36"/>
      <c r="AJ15" s="36">
        <f t="shared" si="13"/>
        <v>856469.222</v>
      </c>
    </row>
    <row r="16" spans="1:36" s="38" customFormat="1" ht="15.75">
      <c r="A16" s="4" t="s">
        <v>4</v>
      </c>
      <c r="B16" s="4" t="s">
        <v>16</v>
      </c>
      <c r="C16" s="4" t="s">
        <v>2</v>
      </c>
      <c r="D16" s="32">
        <v>2728.6</v>
      </c>
      <c r="E16" s="33">
        <f t="shared" si="5"/>
        <v>11787.552</v>
      </c>
      <c r="F16" s="33">
        <f t="shared" si="6"/>
        <v>38964.407999999996</v>
      </c>
      <c r="G16" s="33">
        <f t="shared" si="7"/>
        <v>38636.975999999995</v>
      </c>
      <c r="H16" s="33">
        <f t="shared" si="8"/>
        <v>8513.232</v>
      </c>
      <c r="I16" s="33">
        <f t="shared" si="9"/>
        <v>1964.5919999999996</v>
      </c>
      <c r="J16" s="33">
        <f t="shared" si="10"/>
        <v>5893.776</v>
      </c>
      <c r="K16" s="33">
        <f>56*8+56*6*2</f>
        <v>1120</v>
      </c>
      <c r="L16" s="34">
        <f>144.73*3</f>
        <v>434.18999999999994</v>
      </c>
      <c r="M16" s="34"/>
      <c r="N16" s="34"/>
      <c r="O16" s="35">
        <f t="shared" si="0"/>
        <v>7503.65</v>
      </c>
      <c r="P16" s="36">
        <f t="shared" si="11"/>
        <v>114818.37599999999</v>
      </c>
      <c r="Q16" s="36">
        <f t="shared" si="15"/>
        <v>42920.878</v>
      </c>
      <c r="R16" s="37">
        <f t="shared" si="1"/>
        <v>100685.34</v>
      </c>
      <c r="S16" s="33"/>
      <c r="T16" s="33"/>
      <c r="U16" s="33"/>
      <c r="V16" s="34"/>
      <c r="W16" s="33"/>
      <c r="X16" s="33"/>
      <c r="Y16" s="33"/>
      <c r="Z16" s="36">
        <f t="shared" si="12"/>
        <v>0</v>
      </c>
      <c r="AA16" s="36">
        <f t="shared" si="2"/>
        <v>42238.727999999996</v>
      </c>
      <c r="AB16" s="36"/>
      <c r="AC16" s="36">
        <f t="shared" si="14"/>
        <v>16044.167999999998</v>
      </c>
      <c r="AD16" s="37">
        <f t="shared" si="3"/>
        <v>7642.48</v>
      </c>
      <c r="AE16" s="34"/>
      <c r="AF16" s="34"/>
      <c r="AG16" s="37"/>
      <c r="AH16" s="36">
        <f t="shared" si="4"/>
        <v>38636.975999999995</v>
      </c>
      <c r="AI16" s="36"/>
      <c r="AJ16" s="36">
        <f t="shared" si="13"/>
        <v>362986.946</v>
      </c>
    </row>
    <row r="17" spans="1:36" s="38" customFormat="1" ht="15.75">
      <c r="A17" s="4" t="s">
        <v>4</v>
      </c>
      <c r="B17" s="4" t="s">
        <v>17</v>
      </c>
      <c r="C17" s="4" t="s">
        <v>2</v>
      </c>
      <c r="D17" s="32">
        <v>3530.6</v>
      </c>
      <c r="E17" s="33">
        <f t="shared" si="5"/>
        <v>15252.192</v>
      </c>
      <c r="F17" s="33">
        <f t="shared" si="6"/>
        <v>50416.96799999999</v>
      </c>
      <c r="G17" s="33">
        <f t="shared" si="7"/>
        <v>49993.29599999999</v>
      </c>
      <c r="H17" s="33">
        <f t="shared" si="8"/>
        <v>11015.472</v>
      </c>
      <c r="I17" s="33">
        <f t="shared" si="9"/>
        <v>2542.0319999999997</v>
      </c>
      <c r="J17" s="33">
        <f t="shared" si="10"/>
        <v>7626.096</v>
      </c>
      <c r="K17" s="33">
        <f>80*6*2</f>
        <v>960</v>
      </c>
      <c r="L17" s="34">
        <f>90*144.73</f>
        <v>13025.699999999999</v>
      </c>
      <c r="M17" s="34"/>
      <c r="N17" s="34"/>
      <c r="O17" s="35">
        <f t="shared" si="0"/>
        <v>9709.150000000001</v>
      </c>
      <c r="P17" s="36">
        <f t="shared" si="11"/>
        <v>160540.906</v>
      </c>
      <c r="Q17" s="36">
        <f t="shared" si="15"/>
        <v>55536.338</v>
      </c>
      <c r="R17" s="37">
        <f t="shared" si="1"/>
        <v>130279.14</v>
      </c>
      <c r="S17" s="33">
        <v>55305</v>
      </c>
      <c r="T17" s="33">
        <v>11040</v>
      </c>
      <c r="U17" s="33">
        <v>10965</v>
      </c>
      <c r="V17" s="34"/>
      <c r="W17" s="33"/>
      <c r="X17" s="33">
        <v>6000</v>
      </c>
      <c r="Y17" s="33"/>
      <c r="Z17" s="36">
        <f t="shared" si="12"/>
        <v>83310</v>
      </c>
      <c r="AA17" s="36">
        <f t="shared" si="2"/>
        <v>54653.688</v>
      </c>
      <c r="AB17" s="36"/>
      <c r="AC17" s="36">
        <f t="shared" si="14"/>
        <v>20759.928</v>
      </c>
      <c r="AD17" s="37">
        <f t="shared" si="3"/>
        <v>9888.08</v>
      </c>
      <c r="AE17" s="34"/>
      <c r="AF17" s="34"/>
      <c r="AG17" s="37"/>
      <c r="AH17" s="36">
        <f t="shared" si="4"/>
        <v>49993.29599999999</v>
      </c>
      <c r="AI17" s="36">
        <v>57500</v>
      </c>
      <c r="AJ17" s="36">
        <f t="shared" si="13"/>
        <v>622461.376</v>
      </c>
    </row>
    <row r="18" spans="1:36" s="38" customFormat="1" ht="15.75">
      <c r="A18" s="4" t="s">
        <v>4</v>
      </c>
      <c r="B18" s="4" t="s">
        <v>18</v>
      </c>
      <c r="C18" s="4" t="s">
        <v>2</v>
      </c>
      <c r="D18" s="32">
        <v>2592.3</v>
      </c>
      <c r="E18" s="33">
        <f t="shared" si="5"/>
        <v>11198.736</v>
      </c>
      <c r="F18" s="33">
        <f t="shared" si="6"/>
        <v>37018.044</v>
      </c>
      <c r="G18" s="33">
        <f t="shared" si="7"/>
        <v>36706.968</v>
      </c>
      <c r="H18" s="33">
        <f t="shared" si="8"/>
        <v>8087.976000000001</v>
      </c>
      <c r="I18" s="33">
        <f t="shared" si="9"/>
        <v>1866.4560000000001</v>
      </c>
      <c r="J18" s="33">
        <f t="shared" si="10"/>
        <v>5599.368</v>
      </c>
      <c r="K18" s="33">
        <f>60*8+60*6*2</f>
        <v>1200</v>
      </c>
      <c r="L18" s="34">
        <f>144.73*3</f>
        <v>434.18999999999994</v>
      </c>
      <c r="M18" s="34"/>
      <c r="N18" s="34"/>
      <c r="O18" s="35">
        <f t="shared" si="0"/>
        <v>7128.825000000002</v>
      </c>
      <c r="P18" s="36">
        <f t="shared" si="11"/>
        <v>109240.563</v>
      </c>
      <c r="Q18" s="36">
        <f t="shared" si="15"/>
        <v>40776.879</v>
      </c>
      <c r="R18" s="37">
        <f t="shared" si="1"/>
        <v>95655.87000000001</v>
      </c>
      <c r="S18" s="33"/>
      <c r="T18" s="33"/>
      <c r="U18" s="33">
        <v>1080</v>
      </c>
      <c r="V18" s="34"/>
      <c r="W18" s="33"/>
      <c r="X18" s="33">
        <v>58000</v>
      </c>
      <c r="Y18" s="33"/>
      <c r="Z18" s="36">
        <f t="shared" si="12"/>
        <v>59080</v>
      </c>
      <c r="AA18" s="36">
        <f t="shared" si="2"/>
        <v>40128.804000000004</v>
      </c>
      <c r="AB18" s="36"/>
      <c r="AC18" s="36">
        <f t="shared" si="14"/>
        <v>15242.724000000002</v>
      </c>
      <c r="AD18" s="37">
        <f t="shared" si="3"/>
        <v>7260.84</v>
      </c>
      <c r="AE18" s="34"/>
      <c r="AF18" s="34"/>
      <c r="AG18" s="37"/>
      <c r="AH18" s="36">
        <f t="shared" si="4"/>
        <v>36706.968</v>
      </c>
      <c r="AI18" s="36"/>
      <c r="AJ18" s="36">
        <f t="shared" si="13"/>
        <v>404092.648</v>
      </c>
    </row>
    <row r="19" spans="1:36" s="38" customFormat="1" ht="15.75">
      <c r="A19" s="4" t="s">
        <v>4</v>
      </c>
      <c r="B19" s="4" t="s">
        <v>19</v>
      </c>
      <c r="C19" s="4" t="s">
        <v>2</v>
      </c>
      <c r="D19" s="32">
        <v>3532.7</v>
      </c>
      <c r="E19" s="33">
        <f t="shared" si="5"/>
        <v>15261.264</v>
      </c>
      <c r="F19" s="33">
        <f t="shared" si="6"/>
        <v>50446.95599999999</v>
      </c>
      <c r="G19" s="33">
        <f t="shared" si="7"/>
        <v>50023.03199999999</v>
      </c>
      <c r="H19" s="33">
        <f t="shared" si="8"/>
        <v>11022.024</v>
      </c>
      <c r="I19" s="33">
        <f t="shared" si="9"/>
        <v>2543.544</v>
      </c>
      <c r="J19" s="33">
        <f t="shared" si="10"/>
        <v>7630.632</v>
      </c>
      <c r="K19" s="33">
        <f>80*8+80*6*2</f>
        <v>1600</v>
      </c>
      <c r="L19" s="34">
        <f>144.73*3</f>
        <v>434.18999999999994</v>
      </c>
      <c r="M19" s="34"/>
      <c r="N19" s="34"/>
      <c r="O19" s="35">
        <f t="shared" si="0"/>
        <v>9714.925000000001</v>
      </c>
      <c r="P19" s="36">
        <f t="shared" si="11"/>
        <v>148676.56699999998</v>
      </c>
      <c r="Q19" s="36">
        <f t="shared" si="15"/>
        <v>55569.371</v>
      </c>
      <c r="R19" s="37">
        <f t="shared" si="1"/>
        <v>130356.62999999999</v>
      </c>
      <c r="S19" s="33">
        <v>14000</v>
      </c>
      <c r="T19" s="33"/>
      <c r="U19" s="33">
        <v>2223</v>
      </c>
      <c r="V19" s="34"/>
      <c r="W19" s="33"/>
      <c r="X19" s="33"/>
      <c r="Y19" s="33"/>
      <c r="Z19" s="36">
        <f t="shared" si="12"/>
        <v>16223</v>
      </c>
      <c r="AA19" s="36">
        <f t="shared" si="2"/>
        <v>54686.195999999996</v>
      </c>
      <c r="AB19" s="36"/>
      <c r="AC19" s="36">
        <f t="shared" si="14"/>
        <v>20772.275999999998</v>
      </c>
      <c r="AD19" s="37">
        <f t="shared" si="3"/>
        <v>9893.96</v>
      </c>
      <c r="AE19" s="34"/>
      <c r="AF19" s="34"/>
      <c r="AG19" s="37"/>
      <c r="AH19" s="36">
        <f t="shared" si="4"/>
        <v>50023.03199999999</v>
      </c>
      <c r="AI19" s="36"/>
      <c r="AJ19" s="36">
        <f t="shared" si="13"/>
        <v>486201.032</v>
      </c>
    </row>
    <row r="20" spans="1:36" s="38" customFormat="1" ht="15.75">
      <c r="A20" s="4" t="s">
        <v>4</v>
      </c>
      <c r="B20" s="4" t="s">
        <v>20</v>
      </c>
      <c r="C20" s="4" t="s">
        <v>2</v>
      </c>
      <c r="D20" s="32">
        <v>2586.8</v>
      </c>
      <c r="E20" s="33">
        <f t="shared" si="5"/>
        <v>11174.976</v>
      </c>
      <c r="F20" s="33">
        <f t="shared" si="6"/>
        <v>36939.504</v>
      </c>
      <c r="G20" s="33">
        <f t="shared" si="7"/>
        <v>36629.088</v>
      </c>
      <c r="H20" s="33">
        <f t="shared" si="8"/>
        <v>8070.816000000001</v>
      </c>
      <c r="I20" s="33">
        <f t="shared" si="9"/>
        <v>1862.496</v>
      </c>
      <c r="J20" s="33">
        <f t="shared" si="10"/>
        <v>5587.488</v>
      </c>
      <c r="K20" s="33">
        <f>60*8+60*6*2</f>
        <v>1200</v>
      </c>
      <c r="L20" s="34">
        <f>144.73*3</f>
        <v>434.18999999999994</v>
      </c>
      <c r="M20" s="34"/>
      <c r="N20" s="34"/>
      <c r="O20" s="35">
        <f t="shared" si="0"/>
        <v>7113.700000000001</v>
      </c>
      <c r="P20" s="36">
        <f t="shared" si="11"/>
        <v>109012.258</v>
      </c>
      <c r="Q20" s="36">
        <f t="shared" si="15"/>
        <v>40690.364</v>
      </c>
      <c r="R20" s="37">
        <f t="shared" si="1"/>
        <v>95452.92000000001</v>
      </c>
      <c r="S20" s="33">
        <v>32305</v>
      </c>
      <c r="T20" s="33"/>
      <c r="U20" s="33">
        <v>5120</v>
      </c>
      <c r="V20" s="34"/>
      <c r="W20" s="33"/>
      <c r="X20" s="33"/>
      <c r="Y20" s="33"/>
      <c r="Z20" s="36">
        <f t="shared" si="12"/>
        <v>37425</v>
      </c>
      <c r="AA20" s="36">
        <f t="shared" si="2"/>
        <v>40043.664000000004</v>
      </c>
      <c r="AB20" s="36"/>
      <c r="AC20" s="36">
        <f t="shared" si="14"/>
        <v>15210.384000000002</v>
      </c>
      <c r="AD20" s="37">
        <f t="shared" si="3"/>
        <v>7245.44</v>
      </c>
      <c r="AE20" s="34"/>
      <c r="AF20" s="34"/>
      <c r="AG20" s="37"/>
      <c r="AH20" s="36">
        <f t="shared" si="4"/>
        <v>36629.088</v>
      </c>
      <c r="AI20" s="36"/>
      <c r="AJ20" s="36">
        <f t="shared" si="13"/>
        <v>381709.118</v>
      </c>
    </row>
    <row r="21" spans="1:36" s="38" customFormat="1" ht="15.75">
      <c r="A21" s="4" t="s">
        <v>4</v>
      </c>
      <c r="B21" s="4" t="s">
        <v>21</v>
      </c>
      <c r="C21" s="4" t="s">
        <v>2</v>
      </c>
      <c r="D21" s="32">
        <v>3576.4</v>
      </c>
      <c r="E21" s="33">
        <f t="shared" si="5"/>
        <v>15450.047999999999</v>
      </c>
      <c r="F21" s="33">
        <f t="shared" si="6"/>
        <v>51070.992</v>
      </c>
      <c r="G21" s="33">
        <f t="shared" si="7"/>
        <v>50641.824</v>
      </c>
      <c r="H21" s="33">
        <f t="shared" si="8"/>
        <v>11158.368</v>
      </c>
      <c r="I21" s="33">
        <f t="shared" si="9"/>
        <v>2575.008</v>
      </c>
      <c r="J21" s="33">
        <f t="shared" si="10"/>
        <v>7725.023999999999</v>
      </c>
      <c r="K21" s="33">
        <f>80*6*2</f>
        <v>960</v>
      </c>
      <c r="L21" s="34">
        <f>90*144.73</f>
        <v>13025.699999999999</v>
      </c>
      <c r="M21" s="34"/>
      <c r="N21" s="34"/>
      <c r="O21" s="35">
        <f t="shared" si="0"/>
        <v>9835.1</v>
      </c>
      <c r="P21" s="36">
        <f t="shared" si="11"/>
        <v>162442.064</v>
      </c>
      <c r="Q21" s="36">
        <f t="shared" si="15"/>
        <v>56256.772</v>
      </c>
      <c r="R21" s="37">
        <f t="shared" si="1"/>
        <v>131969.16000000003</v>
      </c>
      <c r="S21" s="33">
        <v>14115</v>
      </c>
      <c r="T21" s="33">
        <f>300*135</f>
        <v>40500</v>
      </c>
      <c r="U21" s="33"/>
      <c r="V21" s="34"/>
      <c r="W21" s="33"/>
      <c r="X21" s="33">
        <v>6000</v>
      </c>
      <c r="Y21" s="33"/>
      <c r="Z21" s="36">
        <f t="shared" si="12"/>
        <v>60615</v>
      </c>
      <c r="AA21" s="36">
        <f t="shared" si="2"/>
        <v>55362.672000000006</v>
      </c>
      <c r="AB21" s="36"/>
      <c r="AC21" s="36">
        <f t="shared" si="14"/>
        <v>21029.232</v>
      </c>
      <c r="AD21" s="37">
        <f t="shared" si="3"/>
        <v>10016.320000000002</v>
      </c>
      <c r="AE21" s="34"/>
      <c r="AF21" s="34"/>
      <c r="AG21" s="37"/>
      <c r="AH21" s="36">
        <f t="shared" si="4"/>
        <v>50641.824</v>
      </c>
      <c r="AI21" s="36">
        <v>57500</v>
      </c>
      <c r="AJ21" s="36">
        <f t="shared" si="13"/>
        <v>605833.0440000001</v>
      </c>
    </row>
    <row r="22" spans="1:36" s="38" customFormat="1" ht="15.75">
      <c r="A22" s="4" t="s">
        <v>4</v>
      </c>
      <c r="B22" s="4" t="s">
        <v>22</v>
      </c>
      <c r="C22" s="4" t="s">
        <v>2</v>
      </c>
      <c r="D22" s="32">
        <v>2554.3</v>
      </c>
      <c r="E22" s="33">
        <f t="shared" si="5"/>
        <v>11034.576000000001</v>
      </c>
      <c r="F22" s="33">
        <f t="shared" si="6"/>
        <v>36475.404</v>
      </c>
      <c r="G22" s="33">
        <f t="shared" si="7"/>
        <v>36168.888</v>
      </c>
      <c r="H22" s="33">
        <f t="shared" si="8"/>
        <v>7969.416000000001</v>
      </c>
      <c r="I22" s="33">
        <f t="shared" si="9"/>
        <v>1839.096</v>
      </c>
      <c r="J22" s="33">
        <f t="shared" si="10"/>
        <v>5517.2880000000005</v>
      </c>
      <c r="K22" s="33">
        <f>60*8+60*6*2</f>
        <v>1200</v>
      </c>
      <c r="L22" s="34">
        <f>144.73*3</f>
        <v>434.18999999999994</v>
      </c>
      <c r="M22" s="34"/>
      <c r="N22" s="34"/>
      <c r="O22" s="35">
        <f t="shared" si="0"/>
        <v>7024.325000000001</v>
      </c>
      <c r="P22" s="36">
        <f t="shared" si="11"/>
        <v>107663.183</v>
      </c>
      <c r="Q22" s="36">
        <f t="shared" si="15"/>
        <v>40179.139</v>
      </c>
      <c r="R22" s="37">
        <f t="shared" si="1"/>
        <v>94253.67000000001</v>
      </c>
      <c r="S22" s="33"/>
      <c r="T22" s="33"/>
      <c r="U22" s="33">
        <v>12180</v>
      </c>
      <c r="V22" s="34"/>
      <c r="W22" s="33"/>
      <c r="X22" s="33"/>
      <c r="Y22" s="33"/>
      <c r="Z22" s="36">
        <f t="shared" si="12"/>
        <v>12180</v>
      </c>
      <c r="AA22" s="36">
        <f t="shared" si="2"/>
        <v>39540.564000000006</v>
      </c>
      <c r="AB22" s="36"/>
      <c r="AC22" s="36">
        <f t="shared" si="14"/>
        <v>15019.284</v>
      </c>
      <c r="AD22" s="37">
        <f t="shared" si="3"/>
        <v>7154.4400000000005</v>
      </c>
      <c r="AE22" s="34"/>
      <c r="AF22" s="34"/>
      <c r="AG22" s="37"/>
      <c r="AH22" s="36">
        <f t="shared" si="4"/>
        <v>36168.888</v>
      </c>
      <c r="AI22" s="36"/>
      <c r="AJ22" s="36">
        <f t="shared" si="13"/>
        <v>352159.168</v>
      </c>
    </row>
    <row r="23" spans="1:36" s="38" customFormat="1" ht="15.75">
      <c r="A23" s="4" t="s">
        <v>4</v>
      </c>
      <c r="B23" s="4" t="s">
        <v>23</v>
      </c>
      <c r="C23" s="4" t="s">
        <v>2</v>
      </c>
      <c r="D23" s="32">
        <v>3490.8</v>
      </c>
      <c r="E23" s="33">
        <f t="shared" si="5"/>
        <v>15080.256000000001</v>
      </c>
      <c r="F23" s="33">
        <f t="shared" si="6"/>
        <v>49848.623999999996</v>
      </c>
      <c r="G23" s="33">
        <f t="shared" si="7"/>
        <v>49429.728</v>
      </c>
      <c r="H23" s="33">
        <f t="shared" si="8"/>
        <v>10891.296</v>
      </c>
      <c r="I23" s="33">
        <f t="shared" si="9"/>
        <v>2513.376</v>
      </c>
      <c r="J23" s="33">
        <f t="shared" si="10"/>
        <v>7540.128000000001</v>
      </c>
      <c r="K23" s="33">
        <f>80*8+80*6*2</f>
        <v>1600</v>
      </c>
      <c r="L23" s="34">
        <f>144.73*3</f>
        <v>434.18999999999994</v>
      </c>
      <c r="M23" s="34"/>
      <c r="N23" s="34"/>
      <c r="O23" s="35">
        <f t="shared" si="0"/>
        <v>9599.7</v>
      </c>
      <c r="P23" s="36">
        <f t="shared" si="11"/>
        <v>146937.29800000004</v>
      </c>
      <c r="Q23" s="36">
        <f t="shared" si="15"/>
        <v>54910.28400000001</v>
      </c>
      <c r="R23" s="37">
        <f t="shared" si="1"/>
        <v>128810.52000000002</v>
      </c>
      <c r="S23" s="33"/>
      <c r="T23" s="33"/>
      <c r="U23" s="33">
        <v>2524</v>
      </c>
      <c r="V23" s="34"/>
      <c r="W23" s="33"/>
      <c r="X23" s="33">
        <v>9450</v>
      </c>
      <c r="Y23" s="33"/>
      <c r="Z23" s="36">
        <f t="shared" si="12"/>
        <v>11974</v>
      </c>
      <c r="AA23" s="36">
        <f t="shared" si="2"/>
        <v>54037.584</v>
      </c>
      <c r="AB23" s="36"/>
      <c r="AC23" s="36">
        <f t="shared" si="14"/>
        <v>20525.904</v>
      </c>
      <c r="AD23" s="37">
        <f t="shared" si="3"/>
        <v>9776.640000000001</v>
      </c>
      <c r="AE23" s="34"/>
      <c r="AF23" s="34"/>
      <c r="AG23" s="37"/>
      <c r="AH23" s="36">
        <f t="shared" si="4"/>
        <v>49429.728</v>
      </c>
      <c r="AI23" s="36"/>
      <c r="AJ23" s="36">
        <f t="shared" si="13"/>
        <v>476401.9580000001</v>
      </c>
    </row>
    <row r="24" spans="1:36" s="38" customFormat="1" ht="15.75">
      <c r="A24" s="4" t="s">
        <v>4</v>
      </c>
      <c r="B24" s="4" t="s">
        <v>24</v>
      </c>
      <c r="C24" s="4" t="s">
        <v>2</v>
      </c>
      <c r="D24" s="32">
        <v>2520.2</v>
      </c>
      <c r="E24" s="33">
        <f t="shared" si="5"/>
        <v>10887.264</v>
      </c>
      <c r="F24" s="33">
        <f t="shared" si="6"/>
        <v>35988.45599999999</v>
      </c>
      <c r="G24" s="33">
        <f t="shared" si="7"/>
        <v>35686.032</v>
      </c>
      <c r="H24" s="33">
        <f t="shared" si="8"/>
        <v>7863.023999999999</v>
      </c>
      <c r="I24" s="33">
        <f t="shared" si="9"/>
        <v>1814.5439999999999</v>
      </c>
      <c r="J24" s="33">
        <f t="shared" si="10"/>
        <v>5443.632</v>
      </c>
      <c r="K24" s="33">
        <f>60*8+60*6*2</f>
        <v>1200</v>
      </c>
      <c r="L24" s="34">
        <f>144.73*3</f>
        <v>434.18999999999994</v>
      </c>
      <c r="M24" s="34"/>
      <c r="N24" s="34"/>
      <c r="O24" s="35">
        <f t="shared" si="0"/>
        <v>6930.549999999999</v>
      </c>
      <c r="P24" s="36">
        <f t="shared" si="11"/>
        <v>106247.69199999998</v>
      </c>
      <c r="Q24" s="36">
        <f t="shared" si="15"/>
        <v>39642.746</v>
      </c>
      <c r="R24" s="37">
        <f t="shared" si="1"/>
        <v>92995.38</v>
      </c>
      <c r="S24" s="33">
        <v>18460</v>
      </c>
      <c r="T24" s="33"/>
      <c r="U24" s="33">
        <v>39627</v>
      </c>
      <c r="V24" s="34"/>
      <c r="W24" s="33"/>
      <c r="X24" s="33"/>
      <c r="Y24" s="33">
        <v>219260</v>
      </c>
      <c r="Z24" s="36">
        <f>SUM(S24:Y24)</f>
        <v>277347</v>
      </c>
      <c r="AA24" s="36">
        <f t="shared" si="2"/>
        <v>39012.695999999996</v>
      </c>
      <c r="AB24" s="36"/>
      <c r="AC24" s="36">
        <f t="shared" si="14"/>
        <v>14818.775999999998</v>
      </c>
      <c r="AD24" s="37">
        <f t="shared" si="3"/>
        <v>7058.959999999999</v>
      </c>
      <c r="AE24" s="34"/>
      <c r="AF24" s="34"/>
      <c r="AG24" s="37"/>
      <c r="AH24" s="36">
        <f t="shared" si="4"/>
        <v>35686.032</v>
      </c>
      <c r="AI24" s="36">
        <v>57500</v>
      </c>
      <c r="AJ24" s="36">
        <f t="shared" si="13"/>
        <v>670309.2819999999</v>
      </c>
    </row>
    <row r="25" spans="1:36" s="38" customFormat="1" ht="15.75">
      <c r="A25" s="4" t="s">
        <v>4</v>
      </c>
      <c r="B25" s="4" t="s">
        <v>25</v>
      </c>
      <c r="C25" s="4" t="s">
        <v>2</v>
      </c>
      <c r="D25" s="32">
        <v>1275.5</v>
      </c>
      <c r="E25" s="33">
        <f t="shared" si="5"/>
        <v>5510.16</v>
      </c>
      <c r="F25" s="33">
        <f t="shared" si="6"/>
        <v>18214.14</v>
      </c>
      <c r="G25" s="33">
        <f t="shared" si="7"/>
        <v>18061.079999999998</v>
      </c>
      <c r="H25" s="33">
        <f t="shared" si="8"/>
        <v>3979.56</v>
      </c>
      <c r="I25" s="33">
        <f t="shared" si="9"/>
        <v>918.36</v>
      </c>
      <c r="J25" s="33">
        <f t="shared" si="10"/>
        <v>2755.08</v>
      </c>
      <c r="K25" s="33">
        <f>32*8*4+32*6*2</f>
        <v>1408</v>
      </c>
      <c r="L25" s="34"/>
      <c r="M25" s="34"/>
      <c r="N25" s="34"/>
      <c r="O25" s="35">
        <f t="shared" si="0"/>
        <v>3507.6250000000005</v>
      </c>
      <c r="P25" s="36">
        <f t="shared" si="11"/>
        <v>54354.005</v>
      </c>
      <c r="Q25" s="36">
        <f t="shared" si="15"/>
        <v>20063.615</v>
      </c>
      <c r="R25" s="37">
        <f t="shared" si="1"/>
        <v>47065.95</v>
      </c>
      <c r="S25" s="33"/>
      <c r="T25" s="33"/>
      <c r="U25" s="33"/>
      <c r="V25" s="34"/>
      <c r="W25" s="33"/>
      <c r="X25" s="33"/>
      <c r="Y25" s="33"/>
      <c r="Z25" s="36">
        <f t="shared" si="12"/>
        <v>0</v>
      </c>
      <c r="AA25" s="36">
        <f t="shared" si="2"/>
        <v>19744.739999999998</v>
      </c>
      <c r="AB25" s="36"/>
      <c r="AC25" s="36">
        <f t="shared" si="14"/>
        <v>7499.9400000000005</v>
      </c>
      <c r="AD25" s="37">
        <f t="shared" si="3"/>
        <v>3573.8000000000006</v>
      </c>
      <c r="AE25" s="34"/>
      <c r="AF25" s="34"/>
      <c r="AG25" s="37"/>
      <c r="AH25" s="36">
        <f t="shared" si="4"/>
        <v>18061.079999999998</v>
      </c>
      <c r="AI25" s="36"/>
      <c r="AJ25" s="36">
        <f t="shared" si="13"/>
        <v>170363.12999999998</v>
      </c>
    </row>
    <row r="26" spans="1:36" s="38" customFormat="1" ht="15.75">
      <c r="A26" s="4" t="s">
        <v>4</v>
      </c>
      <c r="B26" s="4" t="s">
        <v>26</v>
      </c>
      <c r="C26" s="4" t="s">
        <v>2</v>
      </c>
      <c r="D26" s="32">
        <v>1162.3</v>
      </c>
      <c r="E26" s="33">
        <f t="shared" si="5"/>
        <v>5021.1359999999995</v>
      </c>
      <c r="F26" s="33">
        <f t="shared" si="6"/>
        <v>16597.644</v>
      </c>
      <c r="G26" s="33">
        <f t="shared" si="7"/>
        <v>16458.167999999998</v>
      </c>
      <c r="H26" s="33">
        <f t="shared" si="8"/>
        <v>3626.3759999999997</v>
      </c>
      <c r="I26" s="33">
        <f t="shared" si="9"/>
        <v>836.856</v>
      </c>
      <c r="J26" s="33">
        <f t="shared" si="10"/>
        <v>2510.5679999999998</v>
      </c>
      <c r="K26" s="33">
        <f>18*8*4+18*6*2</f>
        <v>792</v>
      </c>
      <c r="L26" s="34"/>
      <c r="M26" s="34"/>
      <c r="N26" s="34"/>
      <c r="O26" s="35">
        <f t="shared" si="0"/>
        <v>3196.325</v>
      </c>
      <c r="P26" s="36">
        <f t="shared" si="11"/>
        <v>49039.07299999999</v>
      </c>
      <c r="Q26" s="36"/>
      <c r="R26" s="37">
        <f t="shared" si="1"/>
        <v>42888.869999999995</v>
      </c>
      <c r="S26" s="33">
        <v>6960</v>
      </c>
      <c r="T26" s="33"/>
      <c r="U26" s="33">
        <v>1160</v>
      </c>
      <c r="V26" s="33">
        <v>62960</v>
      </c>
      <c r="W26" s="33"/>
      <c r="X26" s="33"/>
      <c r="Y26" s="33"/>
      <c r="Z26" s="36">
        <f t="shared" si="12"/>
        <v>71080</v>
      </c>
      <c r="AA26" s="36">
        <f t="shared" si="2"/>
        <v>17992.404</v>
      </c>
      <c r="AB26" s="36"/>
      <c r="AC26" s="36"/>
      <c r="AD26" s="37">
        <f t="shared" si="3"/>
        <v>3256.84</v>
      </c>
      <c r="AE26" s="34"/>
      <c r="AF26" s="34"/>
      <c r="AG26" s="37"/>
      <c r="AH26" s="36">
        <f t="shared" si="4"/>
        <v>16458.167999999998</v>
      </c>
      <c r="AI26" s="36"/>
      <c r="AJ26" s="36">
        <f t="shared" si="13"/>
        <v>200715.35499999998</v>
      </c>
    </row>
    <row r="27" spans="1:36" s="38" customFormat="1" ht="15.75">
      <c r="A27" s="4" t="s">
        <v>4</v>
      </c>
      <c r="B27" s="4" t="s">
        <v>27</v>
      </c>
      <c r="C27" s="4" t="s">
        <v>2</v>
      </c>
      <c r="D27" s="32">
        <v>939.8</v>
      </c>
      <c r="E27" s="33">
        <f t="shared" si="5"/>
        <v>4059.9359999999997</v>
      </c>
      <c r="F27" s="33">
        <f t="shared" si="6"/>
        <v>13420.343999999997</v>
      </c>
      <c r="G27" s="33">
        <f t="shared" si="7"/>
        <v>13307.568</v>
      </c>
      <c r="H27" s="33">
        <f t="shared" si="8"/>
        <v>2932.176</v>
      </c>
      <c r="I27" s="33">
        <f t="shared" si="9"/>
        <v>676.656</v>
      </c>
      <c r="J27" s="33">
        <f t="shared" si="10"/>
        <v>2029.9679999999998</v>
      </c>
      <c r="K27" s="33">
        <f>24*8*4+24*6*2</f>
        <v>1056</v>
      </c>
      <c r="L27" s="34">
        <f>144.73*30</f>
        <v>4341.9</v>
      </c>
      <c r="M27" s="34"/>
      <c r="N27" s="34"/>
      <c r="O27" s="35">
        <f t="shared" si="0"/>
        <v>2584.45</v>
      </c>
      <c r="P27" s="36">
        <f t="shared" si="11"/>
        <v>44408.998</v>
      </c>
      <c r="Q27" s="36"/>
      <c r="R27" s="37">
        <f t="shared" si="1"/>
        <v>34678.619999999995</v>
      </c>
      <c r="S27" s="33">
        <v>7500</v>
      </c>
      <c r="T27" s="33"/>
      <c r="U27" s="33"/>
      <c r="V27" s="33"/>
      <c r="W27" s="33">
        <f>3*220</f>
        <v>660</v>
      </c>
      <c r="X27" s="33"/>
      <c r="Y27" s="33"/>
      <c r="Z27" s="36">
        <f t="shared" si="12"/>
        <v>8160</v>
      </c>
      <c r="AA27" s="36">
        <f t="shared" si="2"/>
        <v>14548.104</v>
      </c>
      <c r="AB27" s="36"/>
      <c r="AC27" s="36">
        <f>D27*0.49*12</f>
        <v>5526.023999999999</v>
      </c>
      <c r="AD27" s="37">
        <f t="shared" si="3"/>
        <v>2633.84</v>
      </c>
      <c r="AE27" s="34"/>
      <c r="AF27" s="34"/>
      <c r="AG27" s="37"/>
      <c r="AH27" s="36">
        <f t="shared" si="4"/>
        <v>13307.568</v>
      </c>
      <c r="AI27" s="36"/>
      <c r="AJ27" s="36">
        <f t="shared" si="13"/>
        <v>123263.15399999998</v>
      </c>
    </row>
    <row r="28" spans="1:36" s="38" customFormat="1" ht="15.75">
      <c r="A28" s="4" t="s">
        <v>4</v>
      </c>
      <c r="B28" s="4" t="s">
        <v>28</v>
      </c>
      <c r="C28" s="4" t="s">
        <v>2</v>
      </c>
      <c r="D28" s="32">
        <v>3546.1</v>
      </c>
      <c r="E28" s="33">
        <f t="shared" si="5"/>
        <v>15319.152</v>
      </c>
      <c r="F28" s="33">
        <f t="shared" si="6"/>
        <v>50638.30799999999</v>
      </c>
      <c r="G28" s="33">
        <f t="shared" si="7"/>
        <v>50212.77599999999</v>
      </c>
      <c r="H28" s="33">
        <f t="shared" si="8"/>
        <v>11063.832</v>
      </c>
      <c r="I28" s="33">
        <f t="shared" si="9"/>
        <v>2553.192</v>
      </c>
      <c r="J28" s="33">
        <f t="shared" si="10"/>
        <v>7659.576</v>
      </c>
      <c r="K28" s="33">
        <f>80*6*2</f>
        <v>960</v>
      </c>
      <c r="L28" s="34">
        <f>144.73*3</f>
        <v>434.18999999999994</v>
      </c>
      <c r="M28" s="34"/>
      <c r="N28" s="34"/>
      <c r="O28" s="35">
        <f t="shared" si="0"/>
        <v>9751.775</v>
      </c>
      <c r="P28" s="36">
        <f t="shared" si="11"/>
        <v>148592.80099999995</v>
      </c>
      <c r="Q28" s="36">
        <f>D28*1.27*5+D28*1.34*7</f>
        <v>55780.153000000006</v>
      </c>
      <c r="R28" s="37">
        <f t="shared" si="1"/>
        <v>130851.09</v>
      </c>
      <c r="S28" s="33">
        <v>5538</v>
      </c>
      <c r="T28" s="33"/>
      <c r="U28" s="33"/>
      <c r="V28" s="33"/>
      <c r="W28" s="33"/>
      <c r="X28" s="33"/>
      <c r="Y28" s="33"/>
      <c r="Z28" s="36">
        <f t="shared" si="12"/>
        <v>5538</v>
      </c>
      <c r="AA28" s="36">
        <f t="shared" si="2"/>
        <v>54893.628</v>
      </c>
      <c r="AB28" s="36"/>
      <c r="AC28" s="36">
        <f>D28*0.49*12</f>
        <v>20851.068</v>
      </c>
      <c r="AD28" s="37">
        <f t="shared" si="3"/>
        <v>9931.48</v>
      </c>
      <c r="AE28" s="34"/>
      <c r="AF28" s="34"/>
      <c r="AG28" s="37"/>
      <c r="AH28" s="36">
        <f t="shared" si="4"/>
        <v>50212.77599999999</v>
      </c>
      <c r="AI28" s="36">
        <v>57500</v>
      </c>
      <c r="AJ28" s="36">
        <f t="shared" si="13"/>
        <v>534150.996</v>
      </c>
    </row>
    <row r="29" spans="1:36" s="38" customFormat="1" ht="15.75">
      <c r="A29" s="4" t="s">
        <v>4</v>
      </c>
      <c r="B29" s="4" t="s">
        <v>3</v>
      </c>
      <c r="C29" s="4" t="s">
        <v>2</v>
      </c>
      <c r="D29" s="32">
        <v>596.4</v>
      </c>
      <c r="E29" s="33">
        <f t="shared" si="5"/>
        <v>2576.448</v>
      </c>
      <c r="F29" s="33">
        <f t="shared" si="6"/>
        <v>8516.591999999999</v>
      </c>
      <c r="G29" s="33">
        <f t="shared" si="7"/>
        <v>8445.024</v>
      </c>
      <c r="H29" s="33">
        <f t="shared" si="8"/>
        <v>1860.768</v>
      </c>
      <c r="I29" s="33">
        <f t="shared" si="9"/>
        <v>429.408</v>
      </c>
      <c r="J29" s="33">
        <f t="shared" si="10"/>
        <v>1288.224</v>
      </c>
      <c r="K29" s="33">
        <f>12*4*8+12*6+12*6</f>
        <v>528</v>
      </c>
      <c r="L29" s="34">
        <f>144.73*18</f>
        <v>2605.14</v>
      </c>
      <c r="M29" s="34"/>
      <c r="N29" s="34">
        <f>596*20.77</f>
        <v>12378.92</v>
      </c>
      <c r="O29" s="35">
        <f t="shared" si="0"/>
        <v>1640.1000000000001</v>
      </c>
      <c r="P29" s="36">
        <f t="shared" si="11"/>
        <v>40268.623999999996</v>
      </c>
      <c r="Q29" s="36"/>
      <c r="R29" s="37">
        <f t="shared" si="1"/>
        <v>22007.159999999996</v>
      </c>
      <c r="S29" s="33">
        <v>26400</v>
      </c>
      <c r="T29" s="33"/>
      <c r="U29" s="33">
        <v>620</v>
      </c>
      <c r="V29" s="33">
        <v>36250</v>
      </c>
      <c r="W29" s="33"/>
      <c r="X29" s="33"/>
      <c r="Y29" s="33"/>
      <c r="Z29" s="36">
        <f t="shared" si="12"/>
        <v>63270</v>
      </c>
      <c r="AA29" s="36">
        <f t="shared" si="2"/>
        <v>9232.272</v>
      </c>
      <c r="AB29" s="36"/>
      <c r="AC29" s="36"/>
      <c r="AD29" s="37">
        <f t="shared" si="3"/>
        <v>1672.3200000000002</v>
      </c>
      <c r="AE29" s="34"/>
      <c r="AF29" s="34"/>
      <c r="AG29" s="37"/>
      <c r="AH29" s="36">
        <f t="shared" si="4"/>
        <v>8445.024</v>
      </c>
      <c r="AI29" s="36">
        <v>57500</v>
      </c>
      <c r="AJ29" s="36">
        <f t="shared" si="13"/>
        <v>202395.4</v>
      </c>
    </row>
    <row r="30" spans="1:36" s="38" customFormat="1" ht="15.75">
      <c r="A30" s="4" t="s">
        <v>4</v>
      </c>
      <c r="B30" s="4" t="s">
        <v>29</v>
      </c>
      <c r="C30" s="4" t="s">
        <v>2</v>
      </c>
      <c r="D30" s="32">
        <v>984.7</v>
      </c>
      <c r="E30" s="33">
        <f t="shared" si="5"/>
        <v>4253.904</v>
      </c>
      <c r="F30" s="33">
        <f t="shared" si="6"/>
        <v>14061.516</v>
      </c>
      <c r="G30" s="33">
        <f t="shared" si="7"/>
        <v>13943.351999999999</v>
      </c>
      <c r="H30" s="33">
        <f t="shared" si="8"/>
        <v>3072.2640000000006</v>
      </c>
      <c r="I30" s="33">
        <f t="shared" si="9"/>
        <v>708.984</v>
      </c>
      <c r="J30" s="33">
        <f t="shared" si="10"/>
        <v>2126.952</v>
      </c>
      <c r="K30" s="33">
        <f>18*6*2</f>
        <v>216</v>
      </c>
      <c r="L30" s="34">
        <f>22*144.73</f>
        <v>3184.06</v>
      </c>
      <c r="M30" s="34"/>
      <c r="N30" s="34">
        <f>719*20.77</f>
        <v>14933.63</v>
      </c>
      <c r="O30" s="35">
        <f t="shared" si="0"/>
        <v>2707.925</v>
      </c>
      <c r="P30" s="36">
        <f t="shared" si="11"/>
        <v>59208.58699999999</v>
      </c>
      <c r="Q30" s="36"/>
      <c r="R30" s="37">
        <f t="shared" si="1"/>
        <v>36335.43000000001</v>
      </c>
      <c r="S30" s="33">
        <v>162500</v>
      </c>
      <c r="T30" s="33"/>
      <c r="U30" s="33"/>
      <c r="V30" s="33"/>
      <c r="W30" s="33"/>
      <c r="X30" s="33"/>
      <c r="Y30" s="33"/>
      <c r="Z30" s="36">
        <f t="shared" si="12"/>
        <v>162500</v>
      </c>
      <c r="AA30" s="36">
        <f t="shared" si="2"/>
        <v>15243.156000000003</v>
      </c>
      <c r="AB30" s="36"/>
      <c r="AC30" s="36"/>
      <c r="AD30" s="37">
        <f t="shared" si="3"/>
        <v>2759.5600000000004</v>
      </c>
      <c r="AE30" s="34"/>
      <c r="AF30" s="34"/>
      <c r="AG30" s="37"/>
      <c r="AH30" s="36">
        <f t="shared" si="4"/>
        <v>13943.351999999999</v>
      </c>
      <c r="AI30" s="36">
        <v>57500</v>
      </c>
      <c r="AJ30" s="36">
        <f t="shared" si="13"/>
        <v>347490.085</v>
      </c>
    </row>
    <row r="31" spans="1:36" s="38" customFormat="1" ht="15.75">
      <c r="A31" s="4" t="s">
        <v>30</v>
      </c>
      <c r="B31" s="4" t="s">
        <v>31</v>
      </c>
      <c r="C31" s="4" t="s">
        <v>2</v>
      </c>
      <c r="D31" s="39">
        <v>2794.4</v>
      </c>
      <c r="E31" s="33">
        <f t="shared" si="5"/>
        <v>12071.808</v>
      </c>
      <c r="F31" s="33">
        <f t="shared" si="6"/>
        <v>39904.032</v>
      </c>
      <c r="G31" s="33">
        <f t="shared" si="7"/>
        <v>39568.704</v>
      </c>
      <c r="H31" s="33">
        <f t="shared" si="8"/>
        <v>8718.528000000002</v>
      </c>
      <c r="I31" s="33">
        <f t="shared" si="9"/>
        <v>2011.9679999999998</v>
      </c>
      <c r="J31" s="33">
        <f t="shared" si="10"/>
        <v>6035.904</v>
      </c>
      <c r="K31" s="33">
        <f>60*6*2</f>
        <v>720</v>
      </c>
      <c r="L31" s="34">
        <f>144.73*70</f>
        <v>10131.099999999999</v>
      </c>
      <c r="M31" s="34"/>
      <c r="N31" s="34"/>
      <c r="O31" s="35">
        <f t="shared" si="0"/>
        <v>7684.6</v>
      </c>
      <c r="P31" s="36">
        <f t="shared" si="11"/>
        <v>126846.644</v>
      </c>
      <c r="Q31" s="36">
        <f>D31*1.27*5+D31*1.34*7</f>
        <v>43955.91200000001</v>
      </c>
      <c r="R31" s="37">
        <f t="shared" si="1"/>
        <v>103113.36000000002</v>
      </c>
      <c r="S31" s="33"/>
      <c r="T31" s="33"/>
      <c r="U31" s="33">
        <v>470</v>
      </c>
      <c r="V31" s="33"/>
      <c r="W31" s="33"/>
      <c r="X31" s="33"/>
      <c r="Y31" s="33"/>
      <c r="Z31" s="36">
        <f t="shared" si="12"/>
        <v>470</v>
      </c>
      <c r="AA31" s="36">
        <f t="shared" si="2"/>
        <v>43257.312000000005</v>
      </c>
      <c r="AB31" s="36"/>
      <c r="AC31" s="36">
        <f aca="true" t="shared" si="16" ref="AC31:AC94">D31*0.49*12</f>
        <v>16431.072</v>
      </c>
      <c r="AD31" s="37">
        <f t="shared" si="3"/>
        <v>7826.719999999999</v>
      </c>
      <c r="AE31" s="34"/>
      <c r="AF31" s="34"/>
      <c r="AG31" s="37"/>
      <c r="AH31" s="36">
        <f t="shared" si="4"/>
        <v>39568.704</v>
      </c>
      <c r="AI31" s="36"/>
      <c r="AJ31" s="36">
        <f t="shared" si="13"/>
        <v>381469.72399999993</v>
      </c>
    </row>
    <row r="32" spans="1:36" ht="15.75">
      <c r="A32" s="3" t="s">
        <v>30</v>
      </c>
      <c r="B32" s="4" t="s">
        <v>32</v>
      </c>
      <c r="C32" s="3" t="s">
        <v>2</v>
      </c>
      <c r="D32" s="19">
        <v>4357.9</v>
      </c>
      <c r="E32" s="11">
        <f t="shared" si="5"/>
        <v>18826.127999999997</v>
      </c>
      <c r="F32" s="11">
        <f t="shared" si="6"/>
        <v>62230.81199999999</v>
      </c>
      <c r="G32" s="11">
        <f t="shared" si="7"/>
        <v>61707.86399999999</v>
      </c>
      <c r="H32" s="11">
        <f t="shared" si="8"/>
        <v>13596.647999999997</v>
      </c>
      <c r="I32" s="11">
        <f t="shared" si="9"/>
        <v>3137.688</v>
      </c>
      <c r="J32" s="11">
        <f t="shared" si="10"/>
        <v>9413.063999999998</v>
      </c>
      <c r="K32" s="11">
        <f>88*6*2</f>
        <v>1056</v>
      </c>
      <c r="L32" s="8">
        <f>144.73*100</f>
        <v>14472.999999999998</v>
      </c>
      <c r="M32" s="8"/>
      <c r="N32" s="8"/>
      <c r="O32" s="16">
        <f t="shared" si="0"/>
        <v>11984.224999999999</v>
      </c>
      <c r="P32" s="24">
        <f t="shared" si="11"/>
        <v>196425.42899999997</v>
      </c>
      <c r="Q32" s="24">
        <f>D32*1.27*5+D32*1.34*7</f>
        <v>68549.76699999999</v>
      </c>
      <c r="R32" s="26">
        <f t="shared" si="1"/>
        <v>160806.51</v>
      </c>
      <c r="S32" s="11">
        <v>36920</v>
      </c>
      <c r="T32" s="11"/>
      <c r="U32" s="11">
        <v>1010</v>
      </c>
      <c r="V32" s="11"/>
      <c r="W32" s="11"/>
      <c r="X32" s="11"/>
      <c r="Y32" s="11"/>
      <c r="Z32" s="24">
        <f t="shared" si="12"/>
        <v>37930</v>
      </c>
      <c r="AA32" s="24">
        <f t="shared" si="2"/>
        <v>67460.292</v>
      </c>
      <c r="AB32" s="24"/>
      <c r="AC32" s="24">
        <f t="shared" si="16"/>
        <v>25624.451999999997</v>
      </c>
      <c r="AD32" s="26">
        <f t="shared" si="3"/>
        <v>12204.519999999999</v>
      </c>
      <c r="AE32" s="8">
        <v>28237.66</v>
      </c>
      <c r="AF32" s="8">
        <v>1737.94</v>
      </c>
      <c r="AG32" s="26"/>
      <c r="AH32" s="24">
        <f t="shared" si="4"/>
        <v>61707.86399999999</v>
      </c>
      <c r="AI32" s="24"/>
      <c r="AJ32" s="24">
        <f t="shared" si="13"/>
        <v>630708.834</v>
      </c>
    </row>
    <row r="33" spans="1:36" ht="15.75">
      <c r="A33" s="3" t="s">
        <v>30</v>
      </c>
      <c r="B33" s="4" t="s">
        <v>6</v>
      </c>
      <c r="C33" s="3" t="s">
        <v>2</v>
      </c>
      <c r="D33" s="19">
        <v>2652</v>
      </c>
      <c r="E33" s="11">
        <f t="shared" si="5"/>
        <v>11456.64</v>
      </c>
      <c r="F33" s="11">
        <f t="shared" si="6"/>
        <v>37870.56</v>
      </c>
      <c r="G33" s="11">
        <f t="shared" si="7"/>
        <v>37552.31999999999</v>
      </c>
      <c r="H33" s="11">
        <f t="shared" si="8"/>
        <v>8274.24</v>
      </c>
      <c r="I33" s="11">
        <f t="shared" si="9"/>
        <v>1909.44</v>
      </c>
      <c r="J33" s="11">
        <f t="shared" si="10"/>
        <v>5728.32</v>
      </c>
      <c r="K33" s="11">
        <f>58*6*2</f>
        <v>696</v>
      </c>
      <c r="L33" s="8">
        <f>144.73*68</f>
        <v>9841.64</v>
      </c>
      <c r="M33" s="8"/>
      <c r="N33" s="8"/>
      <c r="O33" s="16">
        <f t="shared" si="0"/>
        <v>7293.000000000001</v>
      </c>
      <c r="P33" s="24">
        <f t="shared" si="11"/>
        <v>120622.15999999999</v>
      </c>
      <c r="Q33" s="24">
        <f>D33*1.27*5+D33*1.34*7</f>
        <v>41715.96000000001</v>
      </c>
      <c r="R33" s="26">
        <f t="shared" si="1"/>
        <v>97858.8</v>
      </c>
      <c r="S33" s="11"/>
      <c r="T33" s="11"/>
      <c r="U33" s="11">
        <v>200</v>
      </c>
      <c r="V33" s="11"/>
      <c r="W33" s="11"/>
      <c r="X33" s="11"/>
      <c r="Y33" s="11"/>
      <c r="Z33" s="24">
        <f t="shared" si="12"/>
        <v>200</v>
      </c>
      <c r="AA33" s="24">
        <f t="shared" si="2"/>
        <v>41052.96</v>
      </c>
      <c r="AB33" s="24"/>
      <c r="AC33" s="24">
        <f t="shared" si="16"/>
        <v>15593.76</v>
      </c>
      <c r="AD33" s="26">
        <f t="shared" si="3"/>
        <v>7427.999999999999</v>
      </c>
      <c r="AE33" s="8"/>
      <c r="AF33" s="8"/>
      <c r="AG33" s="26"/>
      <c r="AH33" s="24">
        <f t="shared" si="4"/>
        <v>37552.31999999999</v>
      </c>
      <c r="AI33" s="24"/>
      <c r="AJ33" s="24">
        <f t="shared" si="13"/>
        <v>362023.96</v>
      </c>
    </row>
    <row r="34" spans="1:36" ht="15.75">
      <c r="A34" s="3" t="s">
        <v>33</v>
      </c>
      <c r="B34" s="4" t="s">
        <v>34</v>
      </c>
      <c r="C34" s="3" t="s">
        <v>2</v>
      </c>
      <c r="D34" s="18">
        <v>1023.3</v>
      </c>
      <c r="E34" s="11">
        <f t="shared" si="5"/>
        <v>4420.656</v>
      </c>
      <c r="F34" s="11">
        <f t="shared" si="6"/>
        <v>14612.723999999998</v>
      </c>
      <c r="G34" s="11">
        <f t="shared" si="7"/>
        <v>14489.928</v>
      </c>
      <c r="H34" s="11">
        <f t="shared" si="8"/>
        <v>3192.696</v>
      </c>
      <c r="I34" s="11">
        <f t="shared" si="9"/>
        <v>736.776</v>
      </c>
      <c r="J34" s="11">
        <f t="shared" si="10"/>
        <v>2210.328</v>
      </c>
      <c r="K34" s="11">
        <f>9*6*2</f>
        <v>108</v>
      </c>
      <c r="L34" s="8">
        <f>144.73*15</f>
        <v>2170.95</v>
      </c>
      <c r="M34" s="8"/>
      <c r="N34" s="8"/>
      <c r="O34" s="16">
        <f t="shared" si="0"/>
        <v>2814.0750000000003</v>
      </c>
      <c r="P34" s="24">
        <f t="shared" si="11"/>
        <v>44756.132999999994</v>
      </c>
      <c r="Q34" s="24"/>
      <c r="R34" s="26">
        <f t="shared" si="1"/>
        <v>37759.77</v>
      </c>
      <c r="S34" s="11">
        <f>967*80</f>
        <v>77360</v>
      </c>
      <c r="T34" s="11"/>
      <c r="U34" s="11">
        <v>2810</v>
      </c>
      <c r="V34" s="11"/>
      <c r="W34" s="11"/>
      <c r="X34" s="11"/>
      <c r="Y34" s="11"/>
      <c r="Z34" s="24">
        <f t="shared" si="12"/>
        <v>80170</v>
      </c>
      <c r="AA34" s="24">
        <f t="shared" si="2"/>
        <v>15840.684000000001</v>
      </c>
      <c r="AB34" s="24"/>
      <c r="AC34" s="24">
        <f t="shared" si="16"/>
        <v>6017.004</v>
      </c>
      <c r="AD34" s="26">
        <f t="shared" si="3"/>
        <v>2867.64</v>
      </c>
      <c r="AE34" s="8"/>
      <c r="AF34" s="8"/>
      <c r="AG34" s="26"/>
      <c r="AH34" s="24">
        <f t="shared" si="4"/>
        <v>14489.928</v>
      </c>
      <c r="AI34" s="24"/>
      <c r="AJ34" s="24">
        <f t="shared" si="13"/>
        <v>201901.15899999999</v>
      </c>
    </row>
    <row r="35" spans="1:36" ht="15.75">
      <c r="A35" s="3" t="s">
        <v>33</v>
      </c>
      <c r="B35" s="4" t="s">
        <v>32</v>
      </c>
      <c r="C35" s="3" t="s">
        <v>2</v>
      </c>
      <c r="D35" s="18">
        <v>610.3</v>
      </c>
      <c r="E35" s="11">
        <f t="shared" si="5"/>
        <v>2636.4959999999996</v>
      </c>
      <c r="F35" s="11">
        <f t="shared" si="6"/>
        <v>8715.083999999999</v>
      </c>
      <c r="G35" s="11">
        <f t="shared" si="7"/>
        <v>8641.847999999998</v>
      </c>
      <c r="H35" s="11">
        <f t="shared" si="8"/>
        <v>1904.136</v>
      </c>
      <c r="I35" s="11">
        <f t="shared" si="9"/>
        <v>439.41599999999994</v>
      </c>
      <c r="J35" s="11">
        <f t="shared" si="10"/>
        <v>1318.2479999999998</v>
      </c>
      <c r="K35" s="11">
        <f>6*6*2</f>
        <v>72</v>
      </c>
      <c r="L35" s="8"/>
      <c r="M35" s="8"/>
      <c r="N35" s="8"/>
      <c r="O35" s="16">
        <f t="shared" si="0"/>
        <v>1678.325</v>
      </c>
      <c r="P35" s="24">
        <f t="shared" si="11"/>
        <v>25405.552999999996</v>
      </c>
      <c r="Q35" s="24"/>
      <c r="R35" s="26">
        <f t="shared" si="1"/>
        <v>22520.07</v>
      </c>
      <c r="S35" s="11">
        <v>750</v>
      </c>
      <c r="T35" s="11"/>
      <c r="U35" s="11"/>
      <c r="V35" s="11"/>
      <c r="W35" s="11"/>
      <c r="X35" s="11"/>
      <c r="Y35" s="11"/>
      <c r="Z35" s="24">
        <f t="shared" si="12"/>
        <v>750</v>
      </c>
      <c r="AA35" s="24">
        <f t="shared" si="2"/>
        <v>9447.444</v>
      </c>
      <c r="AB35" s="24"/>
      <c r="AC35" s="24">
        <f t="shared" si="16"/>
        <v>3588.5639999999994</v>
      </c>
      <c r="AD35" s="26">
        <f t="shared" si="3"/>
        <v>1711.2400000000002</v>
      </c>
      <c r="AE35" s="8"/>
      <c r="AF35" s="8"/>
      <c r="AG35" s="26"/>
      <c r="AH35" s="24">
        <f t="shared" si="4"/>
        <v>8641.847999999998</v>
      </c>
      <c r="AI35" s="24">
        <v>57500</v>
      </c>
      <c r="AJ35" s="24">
        <f t="shared" si="13"/>
        <v>129564.71899999998</v>
      </c>
    </row>
    <row r="36" spans="1:36" ht="15.75">
      <c r="A36" s="3" t="s">
        <v>33</v>
      </c>
      <c r="B36" s="4" t="s">
        <v>35</v>
      </c>
      <c r="C36" s="3" t="s">
        <v>2</v>
      </c>
      <c r="D36" s="18">
        <v>1025.2</v>
      </c>
      <c r="E36" s="11">
        <f t="shared" si="5"/>
        <v>4428.864</v>
      </c>
      <c r="F36" s="11">
        <f t="shared" si="6"/>
        <v>14639.856</v>
      </c>
      <c r="G36" s="11">
        <f t="shared" si="7"/>
        <v>14516.831999999999</v>
      </c>
      <c r="H36" s="11">
        <f t="shared" si="8"/>
        <v>3198.6240000000003</v>
      </c>
      <c r="I36" s="11">
        <f t="shared" si="9"/>
        <v>738.144</v>
      </c>
      <c r="J36" s="11">
        <f t="shared" si="10"/>
        <v>2214.432</v>
      </c>
      <c r="K36" s="11">
        <f>8*6*2</f>
        <v>96</v>
      </c>
      <c r="L36" s="8">
        <f>144.73*14</f>
        <v>2026.2199999999998</v>
      </c>
      <c r="M36" s="8"/>
      <c r="N36" s="8"/>
      <c r="O36" s="16">
        <f t="shared" si="0"/>
        <v>2819.3000000000006</v>
      </c>
      <c r="P36" s="24">
        <f t="shared" si="11"/>
        <v>44678.272000000004</v>
      </c>
      <c r="Q36" s="24"/>
      <c r="R36" s="26">
        <f t="shared" si="1"/>
        <v>37829.880000000005</v>
      </c>
      <c r="S36" s="11">
        <v>1500</v>
      </c>
      <c r="T36" s="11"/>
      <c r="U36" s="11">
        <v>1220</v>
      </c>
      <c r="V36" s="11"/>
      <c r="W36" s="11"/>
      <c r="X36" s="11"/>
      <c r="Y36" s="11"/>
      <c r="Z36" s="24">
        <f t="shared" si="12"/>
        <v>2720</v>
      </c>
      <c r="AA36" s="24">
        <f t="shared" si="2"/>
        <v>15870.096000000001</v>
      </c>
      <c r="AB36" s="24"/>
      <c r="AC36" s="24">
        <f t="shared" si="16"/>
        <v>6028.176</v>
      </c>
      <c r="AD36" s="26">
        <f t="shared" si="3"/>
        <v>2872.9600000000005</v>
      </c>
      <c r="AE36" s="8"/>
      <c r="AF36" s="8"/>
      <c r="AG36" s="26"/>
      <c r="AH36" s="24">
        <f t="shared" si="4"/>
        <v>14516.831999999999</v>
      </c>
      <c r="AI36" s="24">
        <v>57500</v>
      </c>
      <c r="AJ36" s="24">
        <f t="shared" si="13"/>
        <v>182016.21600000001</v>
      </c>
    </row>
    <row r="37" spans="1:36" ht="15.75">
      <c r="A37" s="3" t="s">
        <v>33</v>
      </c>
      <c r="B37" s="4" t="s">
        <v>36</v>
      </c>
      <c r="C37" s="3" t="s">
        <v>2</v>
      </c>
      <c r="D37" s="18">
        <v>1032.3</v>
      </c>
      <c r="E37" s="11">
        <f t="shared" si="5"/>
        <v>4459.536</v>
      </c>
      <c r="F37" s="11">
        <f t="shared" si="6"/>
        <v>14741.243999999999</v>
      </c>
      <c r="G37" s="11">
        <f t="shared" si="7"/>
        <v>14617.367999999999</v>
      </c>
      <c r="H37" s="11">
        <f t="shared" si="8"/>
        <v>3220.7760000000003</v>
      </c>
      <c r="I37" s="11">
        <f t="shared" si="9"/>
        <v>743.256</v>
      </c>
      <c r="J37" s="11">
        <f t="shared" si="10"/>
        <v>2229.768</v>
      </c>
      <c r="K37" s="11">
        <f>8*8*4+8*6*2</f>
        <v>352</v>
      </c>
      <c r="L37" s="8">
        <f>144.73*14</f>
        <v>2026.2199999999998</v>
      </c>
      <c r="M37" s="8"/>
      <c r="N37" s="8"/>
      <c r="O37" s="16">
        <f t="shared" si="0"/>
        <v>2838.825</v>
      </c>
      <c r="P37" s="24">
        <f t="shared" si="11"/>
        <v>45228.993</v>
      </c>
      <c r="Q37" s="24"/>
      <c r="R37" s="26">
        <f t="shared" si="1"/>
        <v>38091.869999999995</v>
      </c>
      <c r="S37" s="11">
        <v>68583</v>
      </c>
      <c r="T37" s="11"/>
      <c r="U37" s="11"/>
      <c r="V37" s="11"/>
      <c r="W37" s="11"/>
      <c r="X37" s="11"/>
      <c r="Y37" s="11"/>
      <c r="Z37" s="24">
        <f t="shared" si="12"/>
        <v>68583</v>
      </c>
      <c r="AA37" s="24">
        <f t="shared" si="2"/>
        <v>15980.003999999999</v>
      </c>
      <c r="AB37" s="24"/>
      <c r="AC37" s="24">
        <f t="shared" si="16"/>
        <v>6069.923999999999</v>
      </c>
      <c r="AD37" s="26">
        <f t="shared" si="3"/>
        <v>2892.84</v>
      </c>
      <c r="AE37" s="8"/>
      <c r="AF37" s="8"/>
      <c r="AG37" s="26"/>
      <c r="AH37" s="24">
        <f t="shared" si="4"/>
        <v>14617.367999999999</v>
      </c>
      <c r="AI37" s="24">
        <v>57500</v>
      </c>
      <c r="AJ37" s="24">
        <f t="shared" si="13"/>
        <v>248963.99899999998</v>
      </c>
    </row>
    <row r="38" spans="1:36" ht="15.75">
      <c r="A38" s="3" t="s">
        <v>33</v>
      </c>
      <c r="B38" s="4" t="s">
        <v>37</v>
      </c>
      <c r="C38" s="3" t="s">
        <v>2</v>
      </c>
      <c r="D38" s="18">
        <v>832.3</v>
      </c>
      <c r="E38" s="11">
        <f t="shared" si="5"/>
        <v>3595.536</v>
      </c>
      <c r="F38" s="11">
        <f t="shared" si="6"/>
        <v>11885.243999999999</v>
      </c>
      <c r="G38" s="11">
        <f t="shared" si="7"/>
        <v>11785.367999999999</v>
      </c>
      <c r="H38" s="11">
        <f t="shared" si="8"/>
        <v>2596.776</v>
      </c>
      <c r="I38" s="11">
        <f t="shared" si="9"/>
        <v>599.256</v>
      </c>
      <c r="J38" s="11">
        <f t="shared" si="10"/>
        <v>1797.768</v>
      </c>
      <c r="K38" s="11">
        <f>24*8*4+24*6*2</f>
        <v>1056</v>
      </c>
      <c r="L38" s="8">
        <f>144.73*32</f>
        <v>4631.36</v>
      </c>
      <c r="M38" s="8"/>
      <c r="N38" s="8"/>
      <c r="O38" s="16">
        <f t="shared" si="0"/>
        <v>2288.825</v>
      </c>
      <c r="P38" s="24">
        <f t="shared" si="11"/>
        <v>40236.133</v>
      </c>
      <c r="Q38" s="24"/>
      <c r="R38" s="26">
        <f t="shared" si="1"/>
        <v>30711.869999999995</v>
      </c>
      <c r="S38" s="11" t="s">
        <v>162</v>
      </c>
      <c r="T38" s="11"/>
      <c r="U38" s="11"/>
      <c r="V38" s="11">
        <v>57240</v>
      </c>
      <c r="W38" s="11"/>
      <c r="X38" s="11"/>
      <c r="Y38" s="11"/>
      <c r="Z38" s="24">
        <f t="shared" si="12"/>
        <v>57240</v>
      </c>
      <c r="AA38" s="24">
        <f t="shared" si="2"/>
        <v>12884.003999999999</v>
      </c>
      <c r="AB38" s="24"/>
      <c r="AC38" s="24">
        <f t="shared" si="16"/>
        <v>4893.924</v>
      </c>
      <c r="AD38" s="26">
        <f t="shared" si="3"/>
        <v>2332.84</v>
      </c>
      <c r="AE38" s="8"/>
      <c r="AF38" s="8"/>
      <c r="AG38" s="26"/>
      <c r="AH38" s="24">
        <f t="shared" si="4"/>
        <v>11785.367999999999</v>
      </c>
      <c r="AI38" s="24">
        <v>57500</v>
      </c>
      <c r="AJ38" s="24">
        <f t="shared" si="13"/>
        <v>217584.13899999997</v>
      </c>
    </row>
    <row r="39" spans="1:36" ht="15.75">
      <c r="A39" s="3" t="s">
        <v>33</v>
      </c>
      <c r="B39" s="4" t="s">
        <v>38</v>
      </c>
      <c r="C39" s="3" t="s">
        <v>2</v>
      </c>
      <c r="D39" s="18">
        <v>618.4</v>
      </c>
      <c r="E39" s="11">
        <f t="shared" si="5"/>
        <v>2671.488</v>
      </c>
      <c r="F39" s="11">
        <f t="shared" si="6"/>
        <v>8830.752</v>
      </c>
      <c r="G39" s="11">
        <f t="shared" si="7"/>
        <v>8756.544</v>
      </c>
      <c r="H39" s="11">
        <f t="shared" si="8"/>
        <v>1929.408</v>
      </c>
      <c r="I39" s="11">
        <f t="shared" si="9"/>
        <v>445.248</v>
      </c>
      <c r="J39" s="11">
        <f t="shared" si="10"/>
        <v>1335.744</v>
      </c>
      <c r="K39" s="11">
        <f>12*8*4+12*6*2</f>
        <v>528</v>
      </c>
      <c r="L39" s="8">
        <f>144.73*18</f>
        <v>2605.14</v>
      </c>
      <c r="M39" s="8"/>
      <c r="N39" s="8"/>
      <c r="O39" s="16">
        <f t="shared" si="0"/>
        <v>1700.6</v>
      </c>
      <c r="P39" s="24">
        <f t="shared" si="11"/>
        <v>28802.923999999995</v>
      </c>
      <c r="Q39" s="24"/>
      <c r="R39" s="26">
        <f t="shared" si="1"/>
        <v>22818.96</v>
      </c>
      <c r="S39" s="11"/>
      <c r="T39" s="11"/>
      <c r="U39" s="11"/>
      <c r="V39" s="11">
        <v>31480</v>
      </c>
      <c r="W39" s="11"/>
      <c r="X39" s="11"/>
      <c r="Y39" s="11"/>
      <c r="Z39" s="24">
        <f t="shared" si="12"/>
        <v>31480</v>
      </c>
      <c r="AA39" s="24">
        <f t="shared" si="2"/>
        <v>9572.832</v>
      </c>
      <c r="AB39" s="24"/>
      <c r="AC39" s="24">
        <f t="shared" si="16"/>
        <v>3636.1919999999996</v>
      </c>
      <c r="AD39" s="26">
        <f t="shared" si="3"/>
        <v>1733.92</v>
      </c>
      <c r="AE39" s="8"/>
      <c r="AF39" s="8"/>
      <c r="AG39" s="26"/>
      <c r="AH39" s="24">
        <f t="shared" si="4"/>
        <v>8756.544</v>
      </c>
      <c r="AI39" s="24">
        <v>57500</v>
      </c>
      <c r="AJ39" s="24">
        <f t="shared" si="13"/>
        <v>164301.37199999997</v>
      </c>
    </row>
    <row r="40" spans="1:36" ht="15.75">
      <c r="A40" s="3" t="s">
        <v>33</v>
      </c>
      <c r="B40" s="4" t="s">
        <v>39</v>
      </c>
      <c r="C40" s="3" t="s">
        <v>2</v>
      </c>
      <c r="D40" s="18">
        <v>849.4</v>
      </c>
      <c r="E40" s="11">
        <f t="shared" si="5"/>
        <v>3669.408</v>
      </c>
      <c r="F40" s="11">
        <f t="shared" si="6"/>
        <v>12129.431999999999</v>
      </c>
      <c r="G40" s="11">
        <f t="shared" si="7"/>
        <v>12027.503999999999</v>
      </c>
      <c r="H40" s="11">
        <f t="shared" si="8"/>
        <v>2650.1279999999997</v>
      </c>
      <c r="I40" s="11">
        <f t="shared" si="9"/>
        <v>611.568</v>
      </c>
      <c r="J40" s="11">
        <f t="shared" si="10"/>
        <v>1834.704</v>
      </c>
      <c r="K40" s="11">
        <f>12*6*2</f>
        <v>144</v>
      </c>
      <c r="L40" s="8"/>
      <c r="M40" s="8"/>
      <c r="N40" s="8"/>
      <c r="O40" s="16">
        <f t="shared" si="0"/>
        <v>2335.85</v>
      </c>
      <c r="P40" s="24">
        <f t="shared" si="11"/>
        <v>35402.594</v>
      </c>
      <c r="Q40" s="24"/>
      <c r="R40" s="26">
        <f t="shared" si="1"/>
        <v>31342.86</v>
      </c>
      <c r="S40" s="11"/>
      <c r="T40" s="11"/>
      <c r="U40" s="11">
        <v>8832</v>
      </c>
      <c r="V40" s="11"/>
      <c r="W40" s="11">
        <f>21*220</f>
        <v>4620</v>
      </c>
      <c r="X40" s="11">
        <v>59300</v>
      </c>
      <c r="Y40" s="11"/>
      <c r="Z40" s="24">
        <f t="shared" si="12"/>
        <v>72752</v>
      </c>
      <c r="AA40" s="24">
        <f t="shared" si="2"/>
        <v>13148.712000000001</v>
      </c>
      <c r="AB40" s="24"/>
      <c r="AC40" s="24">
        <f t="shared" si="16"/>
        <v>4994.472</v>
      </c>
      <c r="AD40" s="26">
        <f t="shared" si="3"/>
        <v>2380.72</v>
      </c>
      <c r="AE40" s="8"/>
      <c r="AF40" s="8"/>
      <c r="AG40" s="26"/>
      <c r="AH40" s="24">
        <f t="shared" si="4"/>
        <v>12027.503999999999</v>
      </c>
      <c r="AI40" s="24">
        <v>57500</v>
      </c>
      <c r="AJ40" s="24">
        <f t="shared" si="13"/>
        <v>229548.862</v>
      </c>
    </row>
    <row r="41" spans="1:36" ht="15.75">
      <c r="A41" s="3" t="s">
        <v>33</v>
      </c>
      <c r="B41" s="4" t="s">
        <v>40</v>
      </c>
      <c r="C41" s="3" t="s">
        <v>2</v>
      </c>
      <c r="D41" s="18">
        <v>952.6</v>
      </c>
      <c r="E41" s="11">
        <f t="shared" si="5"/>
        <v>4115.232</v>
      </c>
      <c r="F41" s="11">
        <f t="shared" si="6"/>
        <v>13603.128</v>
      </c>
      <c r="G41" s="11">
        <f t="shared" si="7"/>
        <v>13488.815999999999</v>
      </c>
      <c r="H41" s="11">
        <f t="shared" si="8"/>
        <v>2972.112</v>
      </c>
      <c r="I41" s="11">
        <f t="shared" si="9"/>
        <v>685.872</v>
      </c>
      <c r="J41" s="11">
        <f t="shared" si="10"/>
        <v>2057.616</v>
      </c>
      <c r="K41" s="11">
        <f>24*8*4+24*6*2</f>
        <v>1056</v>
      </c>
      <c r="L41" s="8">
        <f>144.73*30</f>
        <v>4341.9</v>
      </c>
      <c r="M41" s="8"/>
      <c r="N41" s="8"/>
      <c r="O41" s="16">
        <f t="shared" si="0"/>
        <v>2619.6500000000005</v>
      </c>
      <c r="P41" s="24">
        <f t="shared" si="11"/>
        <v>44940.32600000001</v>
      </c>
      <c r="Q41" s="24"/>
      <c r="R41" s="26">
        <f t="shared" si="1"/>
        <v>35150.94</v>
      </c>
      <c r="S41" s="11"/>
      <c r="T41" s="11"/>
      <c r="U41" s="11"/>
      <c r="V41" s="11"/>
      <c r="W41" s="11"/>
      <c r="X41" s="11"/>
      <c r="Y41" s="11"/>
      <c r="Z41" s="24">
        <f t="shared" si="12"/>
        <v>0</v>
      </c>
      <c r="AA41" s="24">
        <f t="shared" si="2"/>
        <v>14746.248</v>
      </c>
      <c r="AB41" s="24"/>
      <c r="AC41" s="24">
        <f t="shared" si="16"/>
        <v>5601.2880000000005</v>
      </c>
      <c r="AD41" s="26">
        <f t="shared" si="3"/>
        <v>2669.6800000000003</v>
      </c>
      <c r="AE41" s="8"/>
      <c r="AF41" s="8"/>
      <c r="AG41" s="26"/>
      <c r="AH41" s="24">
        <f t="shared" si="4"/>
        <v>13488.815999999999</v>
      </c>
      <c r="AI41" s="24">
        <v>57500</v>
      </c>
      <c r="AJ41" s="24">
        <f t="shared" si="13"/>
        <v>174097.29799999998</v>
      </c>
    </row>
    <row r="42" spans="1:36" ht="15.75">
      <c r="A42" s="3" t="s">
        <v>33</v>
      </c>
      <c r="B42" s="4" t="s">
        <v>9</v>
      </c>
      <c r="C42" s="3" t="s">
        <v>2</v>
      </c>
      <c r="D42" s="18">
        <v>597.2</v>
      </c>
      <c r="E42" s="11">
        <f t="shared" si="5"/>
        <v>2579.9040000000005</v>
      </c>
      <c r="F42" s="11">
        <f t="shared" si="6"/>
        <v>8528.016</v>
      </c>
      <c r="G42" s="11">
        <f t="shared" si="7"/>
        <v>8456.352</v>
      </c>
      <c r="H42" s="11">
        <f t="shared" si="8"/>
        <v>1863.2640000000001</v>
      </c>
      <c r="I42" s="11">
        <f t="shared" si="9"/>
        <v>429.98400000000004</v>
      </c>
      <c r="J42" s="11">
        <f t="shared" si="10"/>
        <v>1289.9520000000002</v>
      </c>
      <c r="K42" s="11">
        <f>12*6*2</f>
        <v>144</v>
      </c>
      <c r="L42" s="8"/>
      <c r="M42" s="8"/>
      <c r="N42" s="8"/>
      <c r="O42" s="16">
        <f t="shared" si="0"/>
        <v>1642.3000000000002</v>
      </c>
      <c r="P42" s="24">
        <f t="shared" si="11"/>
        <v>24933.772</v>
      </c>
      <c r="Q42" s="24"/>
      <c r="R42" s="26">
        <f t="shared" si="1"/>
        <v>22036.68</v>
      </c>
      <c r="S42" s="11"/>
      <c r="T42" s="11"/>
      <c r="U42" s="11"/>
      <c r="V42" s="11"/>
      <c r="W42" s="11">
        <f>2*220</f>
        <v>440</v>
      </c>
      <c r="X42" s="11">
        <v>68600</v>
      </c>
      <c r="Y42" s="11"/>
      <c r="Z42" s="24">
        <f t="shared" si="12"/>
        <v>69040</v>
      </c>
      <c r="AA42" s="24">
        <f t="shared" si="2"/>
        <v>9244.656</v>
      </c>
      <c r="AB42" s="24"/>
      <c r="AC42" s="24">
        <f t="shared" si="16"/>
        <v>3511.5360000000005</v>
      </c>
      <c r="AD42" s="26">
        <f t="shared" si="3"/>
        <v>1674.5600000000002</v>
      </c>
      <c r="AE42" s="8"/>
      <c r="AF42" s="8"/>
      <c r="AG42" s="26"/>
      <c r="AH42" s="24">
        <f t="shared" si="4"/>
        <v>8456.352</v>
      </c>
      <c r="AI42" s="24">
        <v>57500</v>
      </c>
      <c r="AJ42" s="24">
        <f t="shared" si="13"/>
        <v>196397.556</v>
      </c>
    </row>
    <row r="43" spans="1:36" ht="15.75">
      <c r="A43" s="3" t="s">
        <v>33</v>
      </c>
      <c r="B43" s="4" t="s">
        <v>11</v>
      </c>
      <c r="C43" s="3" t="s">
        <v>2</v>
      </c>
      <c r="D43" s="18">
        <v>713.7</v>
      </c>
      <c r="E43" s="11">
        <f t="shared" si="5"/>
        <v>3083.184</v>
      </c>
      <c r="F43" s="11">
        <f t="shared" si="6"/>
        <v>10191.636</v>
      </c>
      <c r="G43" s="11">
        <f t="shared" si="7"/>
        <v>10105.992</v>
      </c>
      <c r="H43" s="11">
        <f t="shared" si="8"/>
        <v>2226.744</v>
      </c>
      <c r="I43" s="11">
        <f t="shared" si="9"/>
        <v>513.864</v>
      </c>
      <c r="J43" s="11">
        <f t="shared" si="10"/>
        <v>1541.592</v>
      </c>
      <c r="K43" s="11">
        <f>17*8*4+17*6*2</f>
        <v>748</v>
      </c>
      <c r="L43" s="8">
        <f>144.73*3</f>
        <v>434.18999999999994</v>
      </c>
      <c r="M43" s="8"/>
      <c r="N43" s="8">
        <f>492*20.77</f>
        <v>10218.84</v>
      </c>
      <c r="O43" s="16">
        <f t="shared" si="0"/>
        <v>1962.6750000000004</v>
      </c>
      <c r="P43" s="24">
        <f t="shared" si="11"/>
        <v>41026.717000000004</v>
      </c>
      <c r="Q43" s="24"/>
      <c r="R43" s="26">
        <f t="shared" si="1"/>
        <v>26335.530000000006</v>
      </c>
      <c r="S43" s="11"/>
      <c r="T43" s="11"/>
      <c r="U43" s="11"/>
      <c r="V43" s="11">
        <v>36890</v>
      </c>
      <c r="W43" s="11"/>
      <c r="X43" s="11"/>
      <c r="Y43" s="11"/>
      <c r="Z43" s="24">
        <f t="shared" si="12"/>
        <v>36890</v>
      </c>
      <c r="AA43" s="24">
        <f t="shared" si="2"/>
        <v>11048.076000000001</v>
      </c>
      <c r="AB43" s="24"/>
      <c r="AC43" s="24">
        <f t="shared" si="16"/>
        <v>4196.5560000000005</v>
      </c>
      <c r="AD43" s="26">
        <f t="shared" si="3"/>
        <v>2000.7600000000002</v>
      </c>
      <c r="AE43" s="8"/>
      <c r="AF43" s="8"/>
      <c r="AG43" s="26"/>
      <c r="AH43" s="24">
        <f t="shared" si="4"/>
        <v>10105.992</v>
      </c>
      <c r="AI43" s="24">
        <v>57500</v>
      </c>
      <c r="AJ43" s="24">
        <f t="shared" si="13"/>
        <v>189103.631</v>
      </c>
    </row>
    <row r="44" spans="1:36" ht="15.75">
      <c r="A44" s="3" t="s">
        <v>33</v>
      </c>
      <c r="B44" s="4" t="s">
        <v>12</v>
      </c>
      <c r="C44" s="3" t="s">
        <v>2</v>
      </c>
      <c r="D44" s="18">
        <v>3113.8</v>
      </c>
      <c r="E44" s="11">
        <f t="shared" si="5"/>
        <v>13451.616000000002</v>
      </c>
      <c r="F44" s="11">
        <f t="shared" si="6"/>
        <v>44465.064</v>
      </c>
      <c r="G44" s="11">
        <f t="shared" si="7"/>
        <v>44091.408</v>
      </c>
      <c r="H44" s="11">
        <f t="shared" si="8"/>
        <v>9715.056</v>
      </c>
      <c r="I44" s="11">
        <f t="shared" si="9"/>
        <v>2241.936</v>
      </c>
      <c r="J44" s="11">
        <f t="shared" si="10"/>
        <v>6725.808000000001</v>
      </c>
      <c r="K44" s="11">
        <f>68*6*2</f>
        <v>816</v>
      </c>
      <c r="L44" s="8">
        <f>144.73*3</f>
        <v>434.18999999999994</v>
      </c>
      <c r="M44" s="8"/>
      <c r="N44" s="8"/>
      <c r="O44" s="16">
        <f t="shared" si="0"/>
        <v>8562.95</v>
      </c>
      <c r="P44" s="24">
        <f t="shared" si="11"/>
        <v>130504.028</v>
      </c>
      <c r="Q44" s="24">
        <f>D44*1.27*5+D44*1.34*7</f>
        <v>48980.07400000001</v>
      </c>
      <c r="R44" s="26">
        <f t="shared" si="1"/>
        <v>114899.22000000003</v>
      </c>
      <c r="S44" s="11">
        <v>13900</v>
      </c>
      <c r="T44" s="11"/>
      <c r="U44" s="11"/>
      <c r="V44" s="11"/>
      <c r="W44" s="11"/>
      <c r="X44" s="11">
        <v>9900</v>
      </c>
      <c r="Y44" s="11"/>
      <c r="Z44" s="24">
        <f t="shared" si="12"/>
        <v>23800</v>
      </c>
      <c r="AA44" s="24">
        <f t="shared" si="2"/>
        <v>48201.624</v>
      </c>
      <c r="AB44" s="24"/>
      <c r="AC44" s="24">
        <f t="shared" si="16"/>
        <v>18309.144</v>
      </c>
      <c r="AD44" s="26">
        <f t="shared" si="3"/>
        <v>8721.04</v>
      </c>
      <c r="AE44" s="8"/>
      <c r="AF44" s="8"/>
      <c r="AG44" s="26"/>
      <c r="AH44" s="24">
        <f t="shared" si="4"/>
        <v>44091.408</v>
      </c>
      <c r="AI44" s="24">
        <v>57500</v>
      </c>
      <c r="AJ44" s="24">
        <f t="shared" si="13"/>
        <v>495006.53800000006</v>
      </c>
    </row>
    <row r="45" spans="1:36" ht="15.75">
      <c r="A45" s="3" t="s">
        <v>33</v>
      </c>
      <c r="B45" s="4" t="s">
        <v>41</v>
      </c>
      <c r="C45" s="3" t="s">
        <v>2</v>
      </c>
      <c r="D45" s="18">
        <v>722.1</v>
      </c>
      <c r="E45" s="11">
        <f t="shared" si="5"/>
        <v>3119.472</v>
      </c>
      <c r="F45" s="11">
        <f t="shared" si="6"/>
        <v>10311.588</v>
      </c>
      <c r="G45" s="11">
        <f t="shared" si="7"/>
        <v>10224.936</v>
      </c>
      <c r="H45" s="11">
        <f t="shared" si="8"/>
        <v>2252.952</v>
      </c>
      <c r="I45" s="11">
        <f t="shared" si="9"/>
        <v>519.912</v>
      </c>
      <c r="J45" s="11">
        <f t="shared" si="10"/>
        <v>1559.736</v>
      </c>
      <c r="K45" s="11">
        <f>17*8*4+17*6*2</f>
        <v>748</v>
      </c>
      <c r="L45" s="8">
        <f>144.73*2</f>
        <v>289.46</v>
      </c>
      <c r="M45" s="8"/>
      <c r="N45" s="8"/>
      <c r="O45" s="16">
        <f t="shared" si="0"/>
        <v>1985.775</v>
      </c>
      <c r="P45" s="24">
        <f t="shared" si="11"/>
        <v>31011.831000000002</v>
      </c>
      <c r="Q45" s="24"/>
      <c r="R45" s="26">
        <f t="shared" si="1"/>
        <v>26645.490000000005</v>
      </c>
      <c r="S45" s="11">
        <v>3000</v>
      </c>
      <c r="T45" s="11"/>
      <c r="U45" s="11">
        <v>2014</v>
      </c>
      <c r="V45" s="11"/>
      <c r="W45" s="11"/>
      <c r="X45" s="11"/>
      <c r="Y45" s="11"/>
      <c r="Z45" s="24">
        <f t="shared" si="12"/>
        <v>5014</v>
      </c>
      <c r="AA45" s="24">
        <f t="shared" si="2"/>
        <v>11178.108</v>
      </c>
      <c r="AB45" s="24"/>
      <c r="AC45" s="24">
        <f t="shared" si="16"/>
        <v>4245.948</v>
      </c>
      <c r="AD45" s="26">
        <f t="shared" si="3"/>
        <v>2024.2800000000002</v>
      </c>
      <c r="AE45" s="8"/>
      <c r="AF45" s="8"/>
      <c r="AG45" s="26"/>
      <c r="AH45" s="24">
        <f t="shared" si="4"/>
        <v>10224.936</v>
      </c>
      <c r="AI45" s="24">
        <v>57500</v>
      </c>
      <c r="AJ45" s="24">
        <f t="shared" si="13"/>
        <v>147844.593</v>
      </c>
    </row>
    <row r="46" spans="1:36" ht="15.75">
      <c r="A46" s="3" t="s">
        <v>33</v>
      </c>
      <c r="B46" s="4" t="s">
        <v>42</v>
      </c>
      <c r="C46" s="3" t="s">
        <v>2</v>
      </c>
      <c r="D46" s="18">
        <v>1254.7</v>
      </c>
      <c r="E46" s="11">
        <f t="shared" si="5"/>
        <v>5420.304</v>
      </c>
      <c r="F46" s="11">
        <f t="shared" si="6"/>
        <v>17917.116</v>
      </c>
      <c r="G46" s="11">
        <f t="shared" si="7"/>
        <v>17766.552</v>
      </c>
      <c r="H46" s="11">
        <f t="shared" si="8"/>
        <v>3914.6640000000007</v>
      </c>
      <c r="I46" s="11">
        <f t="shared" si="9"/>
        <v>903.384</v>
      </c>
      <c r="J46" s="11">
        <f t="shared" si="10"/>
        <v>2710.152</v>
      </c>
      <c r="K46" s="11">
        <f>32*8*4+32*6*2</f>
        <v>1408</v>
      </c>
      <c r="L46" s="8">
        <f>144.73*3</f>
        <v>434.18999999999994</v>
      </c>
      <c r="M46" s="8"/>
      <c r="N46" s="8"/>
      <c r="O46" s="16">
        <f t="shared" si="0"/>
        <v>3450.425</v>
      </c>
      <c r="P46" s="24">
        <f t="shared" si="11"/>
        <v>53924.787000000004</v>
      </c>
      <c r="Q46" s="24">
        <f>D46*1.27*5+D46*1.34*7</f>
        <v>19736.431</v>
      </c>
      <c r="R46" s="26">
        <f t="shared" si="1"/>
        <v>46298.43000000001</v>
      </c>
      <c r="S46" s="11">
        <v>3000</v>
      </c>
      <c r="T46" s="11"/>
      <c r="U46" s="11"/>
      <c r="V46" s="11">
        <v>20030</v>
      </c>
      <c r="W46" s="11"/>
      <c r="X46" s="11"/>
      <c r="Y46" s="11"/>
      <c r="Z46" s="24">
        <f t="shared" si="12"/>
        <v>23030</v>
      </c>
      <c r="AA46" s="24">
        <f t="shared" si="2"/>
        <v>19422.756</v>
      </c>
      <c r="AB46" s="24"/>
      <c r="AC46" s="24">
        <f t="shared" si="16"/>
        <v>7377.636</v>
      </c>
      <c r="AD46" s="26">
        <f t="shared" si="3"/>
        <v>3515.5600000000004</v>
      </c>
      <c r="AE46" s="8"/>
      <c r="AF46" s="8"/>
      <c r="AG46" s="26"/>
      <c r="AH46" s="24">
        <f t="shared" si="4"/>
        <v>17766.552</v>
      </c>
      <c r="AI46" s="24">
        <v>57500</v>
      </c>
      <c r="AJ46" s="24">
        <f t="shared" si="13"/>
        <v>248572.152</v>
      </c>
    </row>
    <row r="47" spans="1:36" ht="15.75">
      <c r="A47" s="3" t="s">
        <v>33</v>
      </c>
      <c r="B47" s="4" t="s">
        <v>43</v>
      </c>
      <c r="C47" s="3" t="s">
        <v>2</v>
      </c>
      <c r="D47" s="18">
        <v>963.7</v>
      </c>
      <c r="E47" s="11">
        <f t="shared" si="5"/>
        <v>4163.184</v>
      </c>
      <c r="F47" s="11">
        <f t="shared" si="6"/>
        <v>13761.636000000002</v>
      </c>
      <c r="G47" s="11">
        <f t="shared" si="7"/>
        <v>13645.991999999998</v>
      </c>
      <c r="H47" s="11">
        <f t="shared" si="8"/>
        <v>3006.744</v>
      </c>
      <c r="I47" s="11">
        <f t="shared" si="9"/>
        <v>693.864</v>
      </c>
      <c r="J47" s="11">
        <f t="shared" si="10"/>
        <v>2081.592</v>
      </c>
      <c r="K47" s="11">
        <f>24*8*4+24*6*2</f>
        <v>1056</v>
      </c>
      <c r="L47" s="8">
        <f>144.73*30</f>
        <v>4341.9</v>
      </c>
      <c r="M47" s="8"/>
      <c r="N47" s="8"/>
      <c r="O47" s="16">
        <f t="shared" si="0"/>
        <v>2650.175</v>
      </c>
      <c r="P47" s="24">
        <f t="shared" si="11"/>
        <v>45401.08700000001</v>
      </c>
      <c r="Q47" s="24"/>
      <c r="R47" s="26">
        <f t="shared" si="1"/>
        <v>35560.530000000006</v>
      </c>
      <c r="S47" s="11">
        <v>3750</v>
      </c>
      <c r="T47" s="11"/>
      <c r="U47" s="11"/>
      <c r="V47" s="11">
        <v>60420</v>
      </c>
      <c r="W47" s="11"/>
      <c r="X47" s="11"/>
      <c r="Y47" s="11"/>
      <c r="Z47" s="24">
        <f t="shared" si="12"/>
        <v>64170</v>
      </c>
      <c r="AA47" s="24">
        <f t="shared" si="2"/>
        <v>14918.076000000001</v>
      </c>
      <c r="AB47" s="24"/>
      <c r="AC47" s="24">
        <f t="shared" si="16"/>
        <v>5666.5560000000005</v>
      </c>
      <c r="AD47" s="26">
        <f t="shared" si="3"/>
        <v>2700.76</v>
      </c>
      <c r="AE47" s="8"/>
      <c r="AF47" s="8"/>
      <c r="AG47" s="26"/>
      <c r="AH47" s="24">
        <f t="shared" si="4"/>
        <v>13645.991999999998</v>
      </c>
      <c r="AI47" s="24">
        <v>57500</v>
      </c>
      <c r="AJ47" s="24">
        <f t="shared" si="13"/>
        <v>239563.00100000005</v>
      </c>
    </row>
    <row r="48" spans="1:36" ht="15.75">
      <c r="A48" s="3" t="s">
        <v>33</v>
      </c>
      <c r="B48" s="4" t="s">
        <v>13</v>
      </c>
      <c r="C48" s="3" t="s">
        <v>2</v>
      </c>
      <c r="D48" s="18">
        <v>3165</v>
      </c>
      <c r="E48" s="11">
        <f t="shared" si="5"/>
        <v>13672.8</v>
      </c>
      <c r="F48" s="11">
        <f t="shared" si="6"/>
        <v>45196.2</v>
      </c>
      <c r="G48" s="11">
        <f t="shared" si="7"/>
        <v>44816.399999999994</v>
      </c>
      <c r="H48" s="11">
        <f t="shared" si="8"/>
        <v>9874.8</v>
      </c>
      <c r="I48" s="11">
        <f t="shared" si="9"/>
        <v>2278.8</v>
      </c>
      <c r="J48" s="11">
        <f t="shared" si="10"/>
        <v>6836.4</v>
      </c>
      <c r="K48" s="11">
        <f>72*6*2</f>
        <v>864</v>
      </c>
      <c r="L48" s="8">
        <f>144.73*2</f>
        <v>289.46</v>
      </c>
      <c r="M48" s="8"/>
      <c r="N48" s="8"/>
      <c r="O48" s="16">
        <f t="shared" si="0"/>
        <v>8703.750000000002</v>
      </c>
      <c r="P48" s="24">
        <f t="shared" si="11"/>
        <v>132532.61000000002</v>
      </c>
      <c r="Q48" s="24">
        <f>D48*1.27*5+D48*1.34*7</f>
        <v>49785.450000000004</v>
      </c>
      <c r="R48" s="26">
        <f t="shared" si="1"/>
        <v>116788.5</v>
      </c>
      <c r="S48" s="11"/>
      <c r="T48" s="11"/>
      <c r="U48" s="11"/>
      <c r="V48" s="11"/>
      <c r="W48" s="11">
        <f>27*220</f>
        <v>5940</v>
      </c>
      <c r="X48" s="11"/>
      <c r="Y48" s="11"/>
      <c r="Z48" s="24">
        <f t="shared" si="12"/>
        <v>5940</v>
      </c>
      <c r="AA48" s="24">
        <f t="shared" si="2"/>
        <v>48994.2</v>
      </c>
      <c r="AB48" s="24"/>
      <c r="AC48" s="24">
        <f t="shared" si="16"/>
        <v>18610.199999999997</v>
      </c>
      <c r="AD48" s="26">
        <f t="shared" si="3"/>
        <v>8864.4</v>
      </c>
      <c r="AE48" s="8"/>
      <c r="AF48" s="8"/>
      <c r="AG48" s="26"/>
      <c r="AH48" s="24">
        <f t="shared" si="4"/>
        <v>44816.399999999994</v>
      </c>
      <c r="AI48" s="24">
        <v>57500</v>
      </c>
      <c r="AJ48" s="24">
        <f t="shared" si="13"/>
        <v>483831.7600000001</v>
      </c>
    </row>
    <row r="49" spans="1:36" ht="15.75">
      <c r="A49" s="3" t="s">
        <v>33</v>
      </c>
      <c r="B49" s="4" t="s">
        <v>16</v>
      </c>
      <c r="C49" s="3" t="s">
        <v>2</v>
      </c>
      <c r="D49" s="18">
        <v>2786.5</v>
      </c>
      <c r="E49" s="11">
        <f t="shared" si="5"/>
        <v>12037.68</v>
      </c>
      <c r="F49" s="11">
        <f t="shared" si="6"/>
        <v>39791.22</v>
      </c>
      <c r="G49" s="11">
        <f t="shared" si="7"/>
        <v>39456.84</v>
      </c>
      <c r="H49" s="11">
        <f t="shared" si="8"/>
        <v>8693.880000000001</v>
      </c>
      <c r="I49" s="11">
        <f t="shared" si="9"/>
        <v>2006.28</v>
      </c>
      <c r="J49" s="11">
        <f t="shared" si="10"/>
        <v>6018.84</v>
      </c>
      <c r="K49" s="11">
        <f>60*8+60*6*2</f>
        <v>1200</v>
      </c>
      <c r="L49" s="8">
        <f>144.73*2</f>
        <v>289.46</v>
      </c>
      <c r="M49" s="8"/>
      <c r="N49" s="8"/>
      <c r="O49" s="16">
        <f t="shared" si="0"/>
        <v>7662.875</v>
      </c>
      <c r="P49" s="24">
        <f t="shared" si="11"/>
        <v>117157.075</v>
      </c>
      <c r="Q49" s="24">
        <f>D49*1.27*5+D49*1.34*7</f>
        <v>43831.645000000004</v>
      </c>
      <c r="R49" s="26">
        <f t="shared" si="1"/>
        <v>102821.85</v>
      </c>
      <c r="S49" s="11">
        <v>2432</v>
      </c>
      <c r="T49" s="11"/>
      <c r="U49" s="11"/>
      <c r="V49" s="11"/>
      <c r="W49" s="11"/>
      <c r="X49" s="11"/>
      <c r="Y49" s="11"/>
      <c r="Z49" s="24">
        <f t="shared" si="12"/>
        <v>2432</v>
      </c>
      <c r="AA49" s="24">
        <f t="shared" si="2"/>
        <v>43135.020000000004</v>
      </c>
      <c r="AB49" s="24"/>
      <c r="AC49" s="24">
        <f t="shared" si="16"/>
        <v>16384.62</v>
      </c>
      <c r="AD49" s="26">
        <f t="shared" si="3"/>
        <v>7804.6</v>
      </c>
      <c r="AE49" s="8"/>
      <c r="AF49" s="8"/>
      <c r="AG49" s="26"/>
      <c r="AH49" s="24">
        <f t="shared" si="4"/>
        <v>39456.84</v>
      </c>
      <c r="AI49" s="24">
        <v>57500</v>
      </c>
      <c r="AJ49" s="24">
        <f t="shared" si="13"/>
        <v>430523.65</v>
      </c>
    </row>
    <row r="50" spans="1:36" ht="15.75">
      <c r="A50" s="3" t="s">
        <v>33</v>
      </c>
      <c r="B50" s="4" t="s">
        <v>44</v>
      </c>
      <c r="C50" s="3" t="s">
        <v>2</v>
      </c>
      <c r="D50" s="18">
        <v>618.1</v>
      </c>
      <c r="E50" s="11">
        <f t="shared" si="5"/>
        <v>2670.192</v>
      </c>
      <c r="F50" s="11">
        <f t="shared" si="6"/>
        <v>8826.468</v>
      </c>
      <c r="G50" s="11">
        <f t="shared" si="7"/>
        <v>8752.295999999998</v>
      </c>
      <c r="H50" s="11">
        <f t="shared" si="8"/>
        <v>1928.4720000000002</v>
      </c>
      <c r="I50" s="11">
        <f t="shared" si="9"/>
        <v>445.032</v>
      </c>
      <c r="J50" s="11">
        <f t="shared" si="10"/>
        <v>1335.096</v>
      </c>
      <c r="K50" s="11">
        <f>12*8*4+12*6*2</f>
        <v>528</v>
      </c>
      <c r="L50" s="8"/>
      <c r="M50" s="8"/>
      <c r="N50" s="8"/>
      <c r="O50" s="16">
        <f t="shared" si="0"/>
        <v>1699.775</v>
      </c>
      <c r="P50" s="24">
        <f t="shared" si="11"/>
        <v>26185.331000000002</v>
      </c>
      <c r="Q50" s="24"/>
      <c r="R50" s="26">
        <f t="shared" si="1"/>
        <v>22807.890000000003</v>
      </c>
      <c r="S50" s="11">
        <v>139830</v>
      </c>
      <c r="T50" s="11"/>
      <c r="U50" s="11"/>
      <c r="V50" s="11">
        <v>44520</v>
      </c>
      <c r="W50" s="11"/>
      <c r="X50" s="11"/>
      <c r="Y50" s="11"/>
      <c r="Z50" s="24">
        <f t="shared" si="12"/>
        <v>184350</v>
      </c>
      <c r="AA50" s="24">
        <f t="shared" si="2"/>
        <v>9568.188</v>
      </c>
      <c r="AB50" s="24"/>
      <c r="AC50" s="24">
        <f t="shared" si="16"/>
        <v>3634.4280000000003</v>
      </c>
      <c r="AD50" s="26">
        <f t="shared" si="3"/>
        <v>1733.0800000000002</v>
      </c>
      <c r="AE50" s="8"/>
      <c r="AF50" s="8"/>
      <c r="AG50" s="26"/>
      <c r="AH50" s="24">
        <f t="shared" si="4"/>
        <v>8752.295999999998</v>
      </c>
      <c r="AI50" s="24">
        <v>57500</v>
      </c>
      <c r="AJ50" s="24">
        <f t="shared" si="13"/>
        <v>314531.213</v>
      </c>
    </row>
    <row r="51" spans="1:36" ht="15.75">
      <c r="A51" s="3" t="s">
        <v>45</v>
      </c>
      <c r="B51" s="4" t="s">
        <v>35</v>
      </c>
      <c r="C51" s="3" t="s">
        <v>2</v>
      </c>
      <c r="D51" s="18">
        <v>458.7</v>
      </c>
      <c r="E51" s="11">
        <f t="shared" si="5"/>
        <v>1981.5839999999998</v>
      </c>
      <c r="F51" s="11">
        <f t="shared" si="6"/>
        <v>6550.235999999999</v>
      </c>
      <c r="G51" s="11">
        <f t="shared" si="7"/>
        <v>6495.191999999999</v>
      </c>
      <c r="H51" s="11">
        <f t="shared" si="8"/>
        <v>1431.144</v>
      </c>
      <c r="I51" s="11">
        <f t="shared" si="9"/>
        <v>330.264</v>
      </c>
      <c r="J51" s="11">
        <f t="shared" si="10"/>
        <v>990.7919999999999</v>
      </c>
      <c r="K51" s="11">
        <f>6*8*4+6*6*2</f>
        <v>264</v>
      </c>
      <c r="L51" s="8">
        <f>144.73*3</f>
        <v>434.18999999999994</v>
      </c>
      <c r="M51" s="8"/>
      <c r="N51" s="8"/>
      <c r="O51" s="16">
        <f t="shared" si="0"/>
        <v>1261.4250000000002</v>
      </c>
      <c r="P51" s="24">
        <f t="shared" si="11"/>
        <v>19738.826999999997</v>
      </c>
      <c r="Q51" s="24"/>
      <c r="R51" s="26">
        <f t="shared" si="1"/>
        <v>16926.03</v>
      </c>
      <c r="S51" s="11"/>
      <c r="T51" s="11"/>
      <c r="U51" s="11"/>
      <c r="V51" s="11"/>
      <c r="W51" s="11"/>
      <c r="X51" s="11"/>
      <c r="Y51" s="11"/>
      <c r="Z51" s="24">
        <f t="shared" si="12"/>
        <v>0</v>
      </c>
      <c r="AA51" s="24">
        <f t="shared" si="2"/>
        <v>7100.6759999999995</v>
      </c>
      <c r="AB51" s="24"/>
      <c r="AC51" s="24">
        <f t="shared" si="16"/>
        <v>2697.156</v>
      </c>
      <c r="AD51" s="26">
        <f t="shared" si="3"/>
        <v>1286.7600000000002</v>
      </c>
      <c r="AE51" s="8"/>
      <c r="AF51" s="8"/>
      <c r="AG51" s="26"/>
      <c r="AH51" s="24">
        <f t="shared" si="4"/>
        <v>6495.191999999999</v>
      </c>
      <c r="AI51" s="24">
        <v>57500</v>
      </c>
      <c r="AJ51" s="24">
        <f t="shared" si="13"/>
        <v>111744.641</v>
      </c>
    </row>
    <row r="52" spans="1:36" ht="15.75">
      <c r="A52" s="3" t="s">
        <v>45</v>
      </c>
      <c r="B52" s="4" t="s">
        <v>17</v>
      </c>
      <c r="C52" s="3" t="s">
        <v>2</v>
      </c>
      <c r="D52" s="18">
        <v>638.7</v>
      </c>
      <c r="E52" s="11">
        <f t="shared" si="5"/>
        <v>2759.184</v>
      </c>
      <c r="F52" s="11">
        <f t="shared" si="6"/>
        <v>9120.636</v>
      </c>
      <c r="G52" s="11">
        <f t="shared" si="7"/>
        <v>9043.992</v>
      </c>
      <c r="H52" s="11">
        <f t="shared" si="8"/>
        <v>1992.7440000000001</v>
      </c>
      <c r="I52" s="11">
        <f t="shared" si="9"/>
        <v>459.86400000000003</v>
      </c>
      <c r="J52" s="11">
        <f t="shared" si="10"/>
        <v>1379.592</v>
      </c>
      <c r="K52" s="11">
        <f>12*8+12*6*2</f>
        <v>240</v>
      </c>
      <c r="L52" s="8">
        <f>144.73*3</f>
        <v>434.18999999999994</v>
      </c>
      <c r="M52" s="8"/>
      <c r="N52" s="8">
        <f>610*20.77</f>
        <v>12669.699999999999</v>
      </c>
      <c r="O52" s="16">
        <f t="shared" si="0"/>
        <v>1756.4250000000002</v>
      </c>
      <c r="P52" s="24">
        <f t="shared" si="11"/>
        <v>39856.327</v>
      </c>
      <c r="Q52" s="24"/>
      <c r="R52" s="26">
        <f t="shared" si="1"/>
        <v>23568.030000000002</v>
      </c>
      <c r="S52" s="11">
        <v>17600</v>
      </c>
      <c r="T52" s="11"/>
      <c r="U52" s="11">
        <v>3300</v>
      </c>
      <c r="V52" s="11">
        <v>28620</v>
      </c>
      <c r="W52" s="11">
        <f>5*220</f>
        <v>1100</v>
      </c>
      <c r="X52" s="11"/>
      <c r="Y52" s="11"/>
      <c r="Z52" s="24">
        <f t="shared" si="12"/>
        <v>50620</v>
      </c>
      <c r="AA52" s="24">
        <f t="shared" si="2"/>
        <v>9887.076000000001</v>
      </c>
      <c r="AB52" s="24"/>
      <c r="AC52" s="24">
        <f t="shared" si="16"/>
        <v>3755.5560000000005</v>
      </c>
      <c r="AD52" s="26">
        <f t="shared" si="3"/>
        <v>1790.7600000000002</v>
      </c>
      <c r="AE52" s="8"/>
      <c r="AF52" s="8"/>
      <c r="AG52" s="26"/>
      <c r="AH52" s="24">
        <f t="shared" si="4"/>
        <v>9043.992</v>
      </c>
      <c r="AI52" s="24">
        <v>57500</v>
      </c>
      <c r="AJ52" s="24">
        <f t="shared" si="13"/>
        <v>196021.741</v>
      </c>
    </row>
    <row r="53" spans="1:36" ht="15.75">
      <c r="A53" s="3" t="s">
        <v>45</v>
      </c>
      <c r="B53" s="4" t="s">
        <v>46</v>
      </c>
      <c r="C53" s="3" t="s">
        <v>2</v>
      </c>
      <c r="D53" s="18">
        <v>555.7</v>
      </c>
      <c r="E53" s="11">
        <f t="shared" si="5"/>
        <v>2400.6240000000003</v>
      </c>
      <c r="F53" s="11">
        <f t="shared" si="6"/>
        <v>7935.396000000001</v>
      </c>
      <c r="G53" s="11">
        <f t="shared" si="7"/>
        <v>7868.7119999999995</v>
      </c>
      <c r="H53" s="11">
        <f t="shared" si="8"/>
        <v>1733.7840000000003</v>
      </c>
      <c r="I53" s="11">
        <f t="shared" si="9"/>
        <v>400.104</v>
      </c>
      <c r="J53" s="11">
        <f t="shared" si="10"/>
        <v>1200.3120000000001</v>
      </c>
      <c r="K53" s="11">
        <f>9*8*4+9*6*2</f>
        <v>396</v>
      </c>
      <c r="L53" s="8">
        <f>144.73*3</f>
        <v>434.18999999999994</v>
      </c>
      <c r="M53" s="8"/>
      <c r="N53" s="8">
        <f>501*20.77</f>
        <v>10405.77</v>
      </c>
      <c r="O53" s="16">
        <f t="shared" si="0"/>
        <v>1528.1750000000002</v>
      </c>
      <c r="P53" s="24">
        <f t="shared" si="11"/>
        <v>34303.067</v>
      </c>
      <c r="Q53" s="24"/>
      <c r="R53" s="26">
        <f t="shared" si="1"/>
        <v>20505.33</v>
      </c>
      <c r="S53" s="11">
        <v>17600</v>
      </c>
      <c r="T53" s="11"/>
      <c r="U53" s="11">
        <v>14500</v>
      </c>
      <c r="V53" s="11">
        <v>28620</v>
      </c>
      <c r="W53" s="11">
        <f>2.2*220</f>
        <v>484.00000000000006</v>
      </c>
      <c r="X53" s="11">
        <v>5000</v>
      </c>
      <c r="Y53" s="11"/>
      <c r="Z53" s="24">
        <f t="shared" si="12"/>
        <v>66204</v>
      </c>
      <c r="AA53" s="24">
        <f t="shared" si="2"/>
        <v>8602.236</v>
      </c>
      <c r="AB53" s="24"/>
      <c r="AC53" s="24">
        <f t="shared" si="16"/>
        <v>3267.516</v>
      </c>
      <c r="AD53" s="26">
        <f t="shared" si="3"/>
        <v>1558.3600000000004</v>
      </c>
      <c r="AE53" s="8"/>
      <c r="AF53" s="8"/>
      <c r="AG53" s="26"/>
      <c r="AH53" s="24">
        <f t="shared" si="4"/>
        <v>7868.7119999999995</v>
      </c>
      <c r="AI53" s="24">
        <v>57500</v>
      </c>
      <c r="AJ53" s="24">
        <f t="shared" si="13"/>
        <v>199809.221</v>
      </c>
    </row>
    <row r="54" spans="1:36" ht="15.75">
      <c r="A54" s="3" t="s">
        <v>45</v>
      </c>
      <c r="B54" s="4" t="s">
        <v>47</v>
      </c>
      <c r="C54" s="3" t="s">
        <v>2</v>
      </c>
      <c r="D54" s="18">
        <v>366.8</v>
      </c>
      <c r="E54" s="11">
        <f t="shared" si="5"/>
        <v>1584.576</v>
      </c>
      <c r="F54" s="11">
        <f t="shared" si="6"/>
        <v>5237.904</v>
      </c>
      <c r="G54" s="11">
        <f t="shared" si="7"/>
        <v>5193.888</v>
      </c>
      <c r="H54" s="11">
        <f t="shared" si="8"/>
        <v>1144.4160000000002</v>
      </c>
      <c r="I54" s="11">
        <f t="shared" si="9"/>
        <v>264.096</v>
      </c>
      <c r="J54" s="11">
        <f t="shared" si="10"/>
        <v>792.288</v>
      </c>
      <c r="K54" s="11">
        <f>8*8*4+8*6*2</f>
        <v>352</v>
      </c>
      <c r="L54" s="8">
        <f>144.73*12</f>
        <v>1736.7599999999998</v>
      </c>
      <c r="M54" s="8"/>
      <c r="N54" s="8"/>
      <c r="O54" s="16">
        <f t="shared" si="0"/>
        <v>1008.7</v>
      </c>
      <c r="P54" s="24">
        <f t="shared" si="11"/>
        <v>17314.628</v>
      </c>
      <c r="Q54" s="24"/>
      <c r="R54" s="26">
        <f t="shared" si="1"/>
        <v>13534.920000000002</v>
      </c>
      <c r="S54" s="11"/>
      <c r="T54" s="11"/>
      <c r="U54" s="11">
        <v>82222</v>
      </c>
      <c r="V54" s="11"/>
      <c r="W54" s="11"/>
      <c r="X54" s="11">
        <v>1200</v>
      </c>
      <c r="Y54" s="11"/>
      <c r="Z54" s="24">
        <f t="shared" si="12"/>
        <v>83422</v>
      </c>
      <c r="AA54" s="24">
        <f t="shared" si="2"/>
        <v>5678.064</v>
      </c>
      <c r="AB54" s="24"/>
      <c r="AC54" s="24">
        <f t="shared" si="16"/>
        <v>2156.784</v>
      </c>
      <c r="AD54" s="26">
        <f t="shared" si="3"/>
        <v>1029.44</v>
      </c>
      <c r="AE54" s="8"/>
      <c r="AF54" s="8"/>
      <c r="AG54" s="26"/>
      <c r="AH54" s="24">
        <f t="shared" si="4"/>
        <v>5193.888</v>
      </c>
      <c r="AI54" s="24">
        <v>57500</v>
      </c>
      <c r="AJ54" s="24">
        <f t="shared" si="13"/>
        <v>185829.72400000002</v>
      </c>
    </row>
    <row r="55" spans="1:36" ht="15.75">
      <c r="A55" s="3" t="s">
        <v>45</v>
      </c>
      <c r="B55" s="4" t="s">
        <v>48</v>
      </c>
      <c r="C55" s="3" t="s">
        <v>2</v>
      </c>
      <c r="D55" s="18">
        <v>582.9</v>
      </c>
      <c r="E55" s="11">
        <f t="shared" si="5"/>
        <v>2518.1279999999997</v>
      </c>
      <c r="F55" s="11">
        <f t="shared" si="6"/>
        <v>8323.812</v>
      </c>
      <c r="G55" s="11">
        <f t="shared" si="7"/>
        <v>8253.863999999998</v>
      </c>
      <c r="H55" s="11">
        <f t="shared" si="8"/>
        <v>1818.6480000000001</v>
      </c>
      <c r="I55" s="11">
        <f t="shared" si="9"/>
        <v>419.688</v>
      </c>
      <c r="J55" s="11">
        <f t="shared" si="10"/>
        <v>1259.0639999999999</v>
      </c>
      <c r="K55" s="11">
        <f>10*8+10*6*2</f>
        <v>200</v>
      </c>
      <c r="L55" s="8"/>
      <c r="M55" s="8"/>
      <c r="N55" s="8"/>
      <c r="O55" s="16">
        <f t="shared" si="0"/>
        <v>1602.9750000000001</v>
      </c>
      <c r="P55" s="24">
        <f t="shared" si="11"/>
        <v>24396.178999999993</v>
      </c>
      <c r="Q55" s="24"/>
      <c r="R55" s="26">
        <f t="shared" si="1"/>
        <v>21509.01</v>
      </c>
      <c r="S55" s="11">
        <v>258806</v>
      </c>
      <c r="T55" s="11"/>
      <c r="U55" s="11"/>
      <c r="V55" s="11"/>
      <c r="W55" s="11">
        <f>2*220</f>
        <v>440</v>
      </c>
      <c r="X55" s="11"/>
      <c r="Y55" s="11"/>
      <c r="Z55" s="24">
        <f t="shared" si="12"/>
        <v>259246</v>
      </c>
      <c r="AA55" s="24">
        <f t="shared" si="2"/>
        <v>9023.292000000001</v>
      </c>
      <c r="AB55" s="24"/>
      <c r="AC55" s="24">
        <f t="shared" si="16"/>
        <v>3427.4519999999998</v>
      </c>
      <c r="AD55" s="26">
        <f t="shared" si="3"/>
        <v>1634.52</v>
      </c>
      <c r="AE55" s="8"/>
      <c r="AF55" s="8"/>
      <c r="AG55" s="26"/>
      <c r="AH55" s="24">
        <f t="shared" si="4"/>
        <v>8253.863999999998</v>
      </c>
      <c r="AI55" s="24">
        <v>57500</v>
      </c>
      <c r="AJ55" s="24">
        <f t="shared" si="13"/>
        <v>384990.31700000004</v>
      </c>
    </row>
    <row r="56" spans="1:36" ht="15.75">
      <c r="A56" s="3" t="s">
        <v>45</v>
      </c>
      <c r="B56" s="4" t="s">
        <v>49</v>
      </c>
      <c r="C56" s="3" t="s">
        <v>2</v>
      </c>
      <c r="D56" s="18">
        <v>2139</v>
      </c>
      <c r="E56" s="11">
        <f t="shared" si="5"/>
        <v>9240.48</v>
      </c>
      <c r="F56" s="11">
        <f t="shared" si="6"/>
        <v>30544.92</v>
      </c>
      <c r="G56" s="11">
        <f t="shared" si="7"/>
        <v>30288.239999999998</v>
      </c>
      <c r="H56" s="11">
        <f t="shared" si="8"/>
        <v>6673.68</v>
      </c>
      <c r="I56" s="11">
        <f t="shared" si="9"/>
        <v>1540.08</v>
      </c>
      <c r="J56" s="11">
        <f t="shared" si="10"/>
        <v>4620.24</v>
      </c>
      <c r="K56" s="11">
        <f>39*8+39*6*2</f>
        <v>780</v>
      </c>
      <c r="L56" s="8">
        <f>144.73*3</f>
        <v>434.18999999999994</v>
      </c>
      <c r="M56" s="8"/>
      <c r="N56" s="8">
        <f>1279*20.77</f>
        <v>26564.829999999998</v>
      </c>
      <c r="O56" s="16">
        <f t="shared" si="0"/>
        <v>5882.25</v>
      </c>
      <c r="P56" s="24">
        <f t="shared" si="11"/>
        <v>116568.90999999999</v>
      </c>
      <c r="Q56" s="24"/>
      <c r="R56" s="26">
        <f t="shared" si="1"/>
        <v>78929.1</v>
      </c>
      <c r="S56" s="11">
        <v>105970</v>
      </c>
      <c r="T56" s="11"/>
      <c r="U56" s="11">
        <v>1572</v>
      </c>
      <c r="V56" s="11"/>
      <c r="W56" s="11">
        <f>3.4*220</f>
        <v>748</v>
      </c>
      <c r="X56" s="11"/>
      <c r="Y56" s="11"/>
      <c r="Z56" s="24">
        <f t="shared" si="12"/>
        <v>108290</v>
      </c>
      <c r="AA56" s="24">
        <f t="shared" si="2"/>
        <v>33111.72</v>
      </c>
      <c r="AB56" s="24"/>
      <c r="AC56" s="24">
        <f t="shared" si="16"/>
        <v>12577.32</v>
      </c>
      <c r="AD56" s="26">
        <f t="shared" si="3"/>
        <v>5991.599999999999</v>
      </c>
      <c r="AE56" s="8"/>
      <c r="AF56" s="8"/>
      <c r="AG56" s="26"/>
      <c r="AH56" s="24">
        <f t="shared" si="4"/>
        <v>30288.239999999998</v>
      </c>
      <c r="AI56" s="24">
        <v>57500</v>
      </c>
      <c r="AJ56" s="24">
        <f t="shared" si="13"/>
        <v>443256.88999999996</v>
      </c>
    </row>
    <row r="57" spans="1:36" ht="15.75">
      <c r="A57" s="3" t="s">
        <v>45</v>
      </c>
      <c r="B57" s="4" t="s">
        <v>50</v>
      </c>
      <c r="C57" s="3" t="s">
        <v>2</v>
      </c>
      <c r="D57" s="18">
        <v>751.7</v>
      </c>
      <c r="E57" s="11">
        <f t="shared" si="5"/>
        <v>3247.344</v>
      </c>
      <c r="F57" s="11">
        <f t="shared" si="6"/>
        <v>10734.276</v>
      </c>
      <c r="G57" s="11">
        <f t="shared" si="7"/>
        <v>10644.072</v>
      </c>
      <c r="H57" s="11">
        <f t="shared" si="8"/>
        <v>2345.304</v>
      </c>
      <c r="I57" s="11">
        <f t="shared" si="9"/>
        <v>541.224</v>
      </c>
      <c r="J57" s="11">
        <f t="shared" si="10"/>
        <v>1623.672</v>
      </c>
      <c r="K57" s="11">
        <f>9*6*2</f>
        <v>108</v>
      </c>
      <c r="L57" s="8">
        <f>144.73*2</f>
        <v>289.46</v>
      </c>
      <c r="M57" s="8"/>
      <c r="N57" s="8"/>
      <c r="O57" s="16">
        <f t="shared" si="0"/>
        <v>2067.175</v>
      </c>
      <c r="P57" s="24">
        <f t="shared" si="11"/>
        <v>31600.526999999995</v>
      </c>
      <c r="Q57" s="24"/>
      <c r="R57" s="26">
        <f t="shared" si="1"/>
        <v>27737.730000000003</v>
      </c>
      <c r="S57" s="11"/>
      <c r="T57" s="11"/>
      <c r="U57" s="11"/>
      <c r="V57" s="11"/>
      <c r="W57" s="11">
        <f>7*220</f>
        <v>1540</v>
      </c>
      <c r="X57" s="11"/>
      <c r="Y57" s="11"/>
      <c r="Z57" s="24">
        <f t="shared" si="12"/>
        <v>1540</v>
      </c>
      <c r="AA57" s="24">
        <f t="shared" si="2"/>
        <v>11636.316</v>
      </c>
      <c r="AB57" s="24"/>
      <c r="AC57" s="24">
        <f t="shared" si="16"/>
        <v>4419.996</v>
      </c>
      <c r="AD57" s="26">
        <f t="shared" si="3"/>
        <v>2107.1600000000003</v>
      </c>
      <c r="AE57" s="8"/>
      <c r="AF57" s="8"/>
      <c r="AG57" s="26"/>
      <c r="AH57" s="24">
        <f t="shared" si="4"/>
        <v>10644.072</v>
      </c>
      <c r="AI57" s="24">
        <v>57500</v>
      </c>
      <c r="AJ57" s="24">
        <f t="shared" si="13"/>
        <v>147185.801</v>
      </c>
    </row>
    <row r="58" spans="1:36" ht="15.75">
      <c r="A58" s="3" t="s">
        <v>45</v>
      </c>
      <c r="B58" s="4" t="s">
        <v>51</v>
      </c>
      <c r="C58" s="3" t="s">
        <v>2</v>
      </c>
      <c r="D58" s="18">
        <v>836.2</v>
      </c>
      <c r="E58" s="11">
        <f t="shared" si="5"/>
        <v>3612.384</v>
      </c>
      <c r="F58" s="11">
        <f t="shared" si="6"/>
        <v>11940.936</v>
      </c>
      <c r="G58" s="11">
        <f t="shared" si="7"/>
        <v>11840.592</v>
      </c>
      <c r="H58" s="11">
        <f t="shared" si="8"/>
        <v>2608.944</v>
      </c>
      <c r="I58" s="11">
        <f t="shared" si="9"/>
        <v>602.0640000000001</v>
      </c>
      <c r="J58" s="11">
        <f t="shared" si="10"/>
        <v>1806.192</v>
      </c>
      <c r="K58" s="11">
        <f>16*8*4+16*6*2</f>
        <v>704</v>
      </c>
      <c r="L58" s="8">
        <f>144.73*3</f>
        <v>434.18999999999994</v>
      </c>
      <c r="M58" s="8"/>
      <c r="N58" s="8"/>
      <c r="O58" s="16">
        <f t="shared" si="0"/>
        <v>2299.55</v>
      </c>
      <c r="P58" s="24">
        <f t="shared" si="11"/>
        <v>35848.852</v>
      </c>
      <c r="Q58" s="24"/>
      <c r="R58" s="26">
        <f t="shared" si="1"/>
        <v>30855.780000000006</v>
      </c>
      <c r="S58" s="11"/>
      <c r="T58" s="11"/>
      <c r="U58" s="11"/>
      <c r="V58" s="11"/>
      <c r="W58" s="11"/>
      <c r="X58" s="11"/>
      <c r="Y58" s="11"/>
      <c r="Z58" s="24">
        <f t="shared" si="12"/>
        <v>0</v>
      </c>
      <c r="AA58" s="24">
        <f t="shared" si="2"/>
        <v>12944.376</v>
      </c>
      <c r="AB58" s="24"/>
      <c r="AC58" s="24">
        <f t="shared" si="16"/>
        <v>4916.856</v>
      </c>
      <c r="AD58" s="26">
        <f t="shared" si="3"/>
        <v>2343.76</v>
      </c>
      <c r="AE58" s="8"/>
      <c r="AF58" s="8"/>
      <c r="AG58" s="26"/>
      <c r="AH58" s="24">
        <f t="shared" si="4"/>
        <v>11840.592</v>
      </c>
      <c r="AI58" s="24">
        <v>57500</v>
      </c>
      <c r="AJ58" s="24">
        <f t="shared" si="13"/>
        <v>156250.21600000001</v>
      </c>
    </row>
    <row r="59" spans="1:36" ht="15.75">
      <c r="A59" s="3" t="s">
        <v>45</v>
      </c>
      <c r="B59" s="4" t="s">
        <v>52</v>
      </c>
      <c r="C59" s="3" t="s">
        <v>2</v>
      </c>
      <c r="D59" s="18">
        <v>1330.7</v>
      </c>
      <c r="E59" s="11">
        <f t="shared" si="5"/>
        <v>5748.624</v>
      </c>
      <c r="F59" s="11">
        <f t="shared" si="6"/>
        <v>19002.396</v>
      </c>
      <c r="G59" s="11">
        <f t="shared" si="7"/>
        <v>18842.712</v>
      </c>
      <c r="H59" s="11">
        <f t="shared" si="8"/>
        <v>4151.784000000001</v>
      </c>
      <c r="I59" s="11">
        <f t="shared" si="9"/>
        <v>958.104</v>
      </c>
      <c r="J59" s="11">
        <f t="shared" si="10"/>
        <v>2874.312</v>
      </c>
      <c r="K59" s="11">
        <f>18*8*4+18*6*2</f>
        <v>792</v>
      </c>
      <c r="L59" s="8">
        <f>144.73*3</f>
        <v>434.18999999999994</v>
      </c>
      <c r="M59" s="8"/>
      <c r="N59" s="8">
        <f>931*20.77</f>
        <v>19336.87</v>
      </c>
      <c r="O59" s="16">
        <f t="shared" si="0"/>
        <v>3659.4250000000006</v>
      </c>
      <c r="P59" s="24">
        <f t="shared" si="11"/>
        <v>75800.417</v>
      </c>
      <c r="Q59" s="24"/>
      <c r="R59" s="26">
        <f t="shared" si="1"/>
        <v>49102.83</v>
      </c>
      <c r="S59" s="11"/>
      <c r="T59" s="11"/>
      <c r="U59" s="11"/>
      <c r="V59" s="11">
        <v>49610</v>
      </c>
      <c r="W59" s="11"/>
      <c r="X59" s="11"/>
      <c r="Y59" s="11"/>
      <c r="Z59" s="24">
        <f t="shared" si="12"/>
        <v>49610</v>
      </c>
      <c r="AA59" s="24">
        <f t="shared" si="2"/>
        <v>20599.236</v>
      </c>
      <c r="AB59" s="24"/>
      <c r="AC59" s="24">
        <f t="shared" si="16"/>
        <v>7824.516</v>
      </c>
      <c r="AD59" s="26">
        <f t="shared" si="3"/>
        <v>3728.3600000000006</v>
      </c>
      <c r="AE59" s="8"/>
      <c r="AF59" s="8"/>
      <c r="AG59" s="26"/>
      <c r="AH59" s="24">
        <f t="shared" si="4"/>
        <v>18842.712</v>
      </c>
      <c r="AI59" s="24">
        <v>57500</v>
      </c>
      <c r="AJ59" s="24">
        <f t="shared" si="13"/>
        <v>283008.071</v>
      </c>
    </row>
    <row r="60" spans="1:36" ht="15.75">
      <c r="A60" s="3" t="s">
        <v>45</v>
      </c>
      <c r="B60" s="4" t="s">
        <v>53</v>
      </c>
      <c r="C60" s="3" t="s">
        <v>2</v>
      </c>
      <c r="D60" s="18">
        <v>1251.5</v>
      </c>
      <c r="E60" s="11">
        <f t="shared" si="5"/>
        <v>5406.48</v>
      </c>
      <c r="F60" s="11">
        <f t="shared" si="6"/>
        <v>17871.42</v>
      </c>
      <c r="G60" s="11">
        <f t="shared" si="7"/>
        <v>17721.239999999998</v>
      </c>
      <c r="H60" s="11">
        <f t="shared" si="8"/>
        <v>3904.68</v>
      </c>
      <c r="I60" s="11">
        <f t="shared" si="9"/>
        <v>901.08</v>
      </c>
      <c r="J60" s="11">
        <f t="shared" si="10"/>
        <v>2703.24</v>
      </c>
      <c r="K60" s="11">
        <f>24*8*4+24*6*2</f>
        <v>1056</v>
      </c>
      <c r="L60" s="8">
        <f>144.73*3</f>
        <v>434.18999999999994</v>
      </c>
      <c r="M60" s="8"/>
      <c r="N60" s="8">
        <f>1730*20.77</f>
        <v>35932.1</v>
      </c>
      <c r="O60" s="16">
        <f t="shared" si="0"/>
        <v>3441.625</v>
      </c>
      <c r="P60" s="24">
        <f t="shared" si="11"/>
        <v>89372.055</v>
      </c>
      <c r="Q60" s="24"/>
      <c r="R60" s="26">
        <f t="shared" si="1"/>
        <v>46180.35</v>
      </c>
      <c r="S60" s="11">
        <v>103916</v>
      </c>
      <c r="T60" s="11"/>
      <c r="U60" s="11">
        <v>59672</v>
      </c>
      <c r="V60" s="11">
        <v>97310</v>
      </c>
      <c r="W60" s="11">
        <f>3*220</f>
        <v>660</v>
      </c>
      <c r="X60" s="11"/>
      <c r="Y60" s="11"/>
      <c r="Z60" s="24">
        <f t="shared" si="12"/>
        <v>261558</v>
      </c>
      <c r="AA60" s="24">
        <f t="shared" si="2"/>
        <v>19373.22</v>
      </c>
      <c r="AB60" s="24"/>
      <c r="AC60" s="24">
        <f t="shared" si="16"/>
        <v>7358.82</v>
      </c>
      <c r="AD60" s="26">
        <f t="shared" si="3"/>
        <v>3506.6000000000004</v>
      </c>
      <c r="AE60" s="8"/>
      <c r="AF60" s="8"/>
      <c r="AG60" s="26"/>
      <c r="AH60" s="24">
        <f t="shared" si="4"/>
        <v>17721.239999999998</v>
      </c>
      <c r="AI60" s="24">
        <v>57500</v>
      </c>
      <c r="AJ60" s="24">
        <f t="shared" si="13"/>
        <v>502570.285</v>
      </c>
    </row>
    <row r="61" spans="1:36" ht="15">
      <c r="A61" s="3" t="s">
        <v>45</v>
      </c>
      <c r="B61" s="4" t="s">
        <v>54</v>
      </c>
      <c r="C61" s="3" t="s">
        <v>2</v>
      </c>
      <c r="D61" s="20">
        <v>1770.8</v>
      </c>
      <c r="E61" s="11">
        <f t="shared" si="5"/>
        <v>7649.856</v>
      </c>
      <c r="F61" s="11">
        <f t="shared" si="6"/>
        <v>25287.023999999998</v>
      </c>
      <c r="G61" s="11">
        <f t="shared" si="7"/>
        <v>25074.528</v>
      </c>
      <c r="H61" s="11">
        <f t="shared" si="8"/>
        <v>5524.896000000001</v>
      </c>
      <c r="I61" s="11">
        <f t="shared" si="9"/>
        <v>1274.9759999999999</v>
      </c>
      <c r="J61" s="11">
        <f t="shared" si="10"/>
        <v>3824.928</v>
      </c>
      <c r="K61" s="11">
        <f>32*8*4+32*6*2</f>
        <v>1408</v>
      </c>
      <c r="L61" s="8">
        <f>144.73*3</f>
        <v>434.18999999999994</v>
      </c>
      <c r="M61" s="8"/>
      <c r="N61" s="8"/>
      <c r="O61" s="16">
        <f t="shared" si="0"/>
        <v>4869.700000000001</v>
      </c>
      <c r="P61" s="24">
        <f t="shared" si="11"/>
        <v>75348.098</v>
      </c>
      <c r="Q61" s="24">
        <f>D61*1.27*5+D61*1.34*7</f>
        <v>27854.684000000005</v>
      </c>
      <c r="R61" s="26">
        <f t="shared" si="1"/>
        <v>65342.52</v>
      </c>
      <c r="S61" s="11"/>
      <c r="T61" s="11"/>
      <c r="U61" s="11">
        <v>13072</v>
      </c>
      <c r="V61" s="11">
        <v>74410</v>
      </c>
      <c r="W61" s="11">
        <f>11*220</f>
        <v>2420</v>
      </c>
      <c r="X61" s="11"/>
      <c r="Y61" s="11"/>
      <c r="Z61" s="24">
        <f t="shared" si="12"/>
        <v>89902</v>
      </c>
      <c r="AA61" s="24">
        <f t="shared" si="2"/>
        <v>27411.983999999997</v>
      </c>
      <c r="AB61" s="24"/>
      <c r="AC61" s="24">
        <f t="shared" si="16"/>
        <v>10412.304</v>
      </c>
      <c r="AD61" s="26">
        <f t="shared" si="3"/>
        <v>4960.64</v>
      </c>
      <c r="AE61" s="8"/>
      <c r="AF61" s="8"/>
      <c r="AG61" s="26"/>
      <c r="AH61" s="24">
        <f t="shared" si="4"/>
        <v>25074.528</v>
      </c>
      <c r="AI61" s="24"/>
      <c r="AJ61" s="24">
        <f t="shared" si="13"/>
        <v>326306.758</v>
      </c>
    </row>
    <row r="62" spans="1:36" ht="15.75">
      <c r="A62" s="5" t="s">
        <v>55</v>
      </c>
      <c r="B62" s="5" t="s">
        <v>56</v>
      </c>
      <c r="C62" s="6" t="s">
        <v>2</v>
      </c>
      <c r="D62" s="21">
        <v>393.3</v>
      </c>
      <c r="E62" s="11">
        <f t="shared" si="5"/>
        <v>1699.056</v>
      </c>
      <c r="F62" s="11">
        <f t="shared" si="6"/>
        <v>5616.324</v>
      </c>
      <c r="G62" s="11">
        <f t="shared" si="7"/>
        <v>5569.128</v>
      </c>
      <c r="H62" s="11">
        <f t="shared" si="8"/>
        <v>1227.096</v>
      </c>
      <c r="I62" s="11">
        <f t="shared" si="9"/>
        <v>283.176</v>
      </c>
      <c r="J62" s="11">
        <f t="shared" si="10"/>
        <v>849.528</v>
      </c>
      <c r="K62" s="11">
        <f>8*6*2</f>
        <v>96</v>
      </c>
      <c r="L62" s="8"/>
      <c r="M62" s="8"/>
      <c r="N62" s="8"/>
      <c r="O62" s="16">
        <f t="shared" si="0"/>
        <v>1081.575</v>
      </c>
      <c r="P62" s="24">
        <f t="shared" si="11"/>
        <v>16421.882999999998</v>
      </c>
      <c r="Q62" s="24"/>
      <c r="R62" s="26">
        <f t="shared" si="1"/>
        <v>14512.770000000002</v>
      </c>
      <c r="S62" s="11"/>
      <c r="T62" s="11"/>
      <c r="U62" s="11"/>
      <c r="V62" s="11"/>
      <c r="W62" s="11"/>
      <c r="X62" s="11"/>
      <c r="Y62" s="11"/>
      <c r="Z62" s="24">
        <f t="shared" si="12"/>
        <v>0</v>
      </c>
      <c r="AA62" s="24">
        <f t="shared" si="2"/>
        <v>6088.284000000001</v>
      </c>
      <c r="AB62" s="24"/>
      <c r="AC62" s="24">
        <f t="shared" si="16"/>
        <v>2312.6040000000003</v>
      </c>
      <c r="AD62" s="26">
        <f t="shared" si="3"/>
        <v>1103.6400000000003</v>
      </c>
      <c r="AE62" s="8"/>
      <c r="AF62" s="8"/>
      <c r="AG62" s="26"/>
      <c r="AH62" s="24">
        <f t="shared" si="4"/>
        <v>5569.128</v>
      </c>
      <c r="AI62" s="24"/>
      <c r="AJ62" s="24">
        <f t="shared" si="13"/>
        <v>46008.308999999994</v>
      </c>
    </row>
    <row r="63" spans="1:36" ht="15.75">
      <c r="A63" s="3" t="s">
        <v>55</v>
      </c>
      <c r="B63" s="4" t="s">
        <v>12</v>
      </c>
      <c r="C63" s="3" t="s">
        <v>2</v>
      </c>
      <c r="D63" s="18">
        <v>290.2</v>
      </c>
      <c r="E63" s="11">
        <f t="shared" si="5"/>
        <v>1253.664</v>
      </c>
      <c r="F63" s="11">
        <f t="shared" si="6"/>
        <v>4144.056</v>
      </c>
      <c r="G63" s="11">
        <f t="shared" si="7"/>
        <v>4109.232</v>
      </c>
      <c r="H63" s="11">
        <f t="shared" si="8"/>
        <v>905.424</v>
      </c>
      <c r="I63" s="11">
        <f t="shared" si="9"/>
        <v>208.944</v>
      </c>
      <c r="J63" s="11">
        <f t="shared" si="10"/>
        <v>626.832</v>
      </c>
      <c r="K63" s="11">
        <f>8*6*2</f>
        <v>96</v>
      </c>
      <c r="L63" s="8">
        <f>144.73*13</f>
        <v>1881.4899999999998</v>
      </c>
      <c r="M63" s="8"/>
      <c r="N63" s="8">
        <f>719*20.77</f>
        <v>14933.63</v>
      </c>
      <c r="O63" s="16">
        <f t="shared" si="0"/>
        <v>798.0500000000001</v>
      </c>
      <c r="P63" s="24">
        <f t="shared" si="11"/>
        <v>28957.321999999996</v>
      </c>
      <c r="Q63" s="24"/>
      <c r="R63" s="26">
        <f t="shared" si="1"/>
        <v>10708.38</v>
      </c>
      <c r="S63" s="11">
        <v>52056</v>
      </c>
      <c r="T63" s="11"/>
      <c r="U63" s="11"/>
      <c r="V63" s="11"/>
      <c r="W63" s="11"/>
      <c r="X63" s="11">
        <v>47600</v>
      </c>
      <c r="Y63" s="11"/>
      <c r="Z63" s="24">
        <f t="shared" si="12"/>
        <v>99656</v>
      </c>
      <c r="AA63" s="24">
        <f t="shared" si="2"/>
        <v>4492.296</v>
      </c>
      <c r="AB63" s="24"/>
      <c r="AC63" s="24">
        <f t="shared" si="16"/>
        <v>1706.3759999999997</v>
      </c>
      <c r="AD63" s="26">
        <f t="shared" si="3"/>
        <v>814.9599999999999</v>
      </c>
      <c r="AE63" s="8"/>
      <c r="AF63" s="8"/>
      <c r="AG63" s="26"/>
      <c r="AH63" s="24">
        <f t="shared" si="4"/>
        <v>4109.232</v>
      </c>
      <c r="AI63" s="24"/>
      <c r="AJ63" s="24">
        <f t="shared" si="13"/>
        <v>150444.56599999996</v>
      </c>
    </row>
    <row r="64" spans="1:36" ht="15.75">
      <c r="A64" s="3" t="s">
        <v>55</v>
      </c>
      <c r="B64" s="4" t="s">
        <v>13</v>
      </c>
      <c r="C64" s="3" t="s">
        <v>2</v>
      </c>
      <c r="D64" s="18">
        <v>295.9</v>
      </c>
      <c r="E64" s="11">
        <f t="shared" si="5"/>
        <v>1278.2879999999998</v>
      </c>
      <c r="F64" s="11">
        <f t="shared" si="6"/>
        <v>4225.451999999999</v>
      </c>
      <c r="G64" s="11">
        <f t="shared" si="7"/>
        <v>4189.9439999999995</v>
      </c>
      <c r="H64" s="11">
        <f t="shared" si="8"/>
        <v>923.208</v>
      </c>
      <c r="I64" s="11">
        <f t="shared" si="9"/>
        <v>213.04799999999997</v>
      </c>
      <c r="J64" s="11">
        <f t="shared" si="10"/>
        <v>639.1439999999999</v>
      </c>
      <c r="K64" s="11">
        <f>8*6*2</f>
        <v>96</v>
      </c>
      <c r="L64" s="8">
        <f>144.73*13</f>
        <v>1881.4899999999998</v>
      </c>
      <c r="M64" s="8"/>
      <c r="N64" s="8">
        <f>276*20.77</f>
        <v>5732.5199999999995</v>
      </c>
      <c r="O64" s="16">
        <f t="shared" si="0"/>
        <v>813.725</v>
      </c>
      <c r="P64" s="24">
        <f t="shared" si="11"/>
        <v>19992.818999999996</v>
      </c>
      <c r="Q64" s="24"/>
      <c r="R64" s="26">
        <f t="shared" si="1"/>
        <v>10918.71</v>
      </c>
      <c r="S64" s="11">
        <f>220.8*80+64*700</f>
        <v>62464</v>
      </c>
      <c r="T64" s="11"/>
      <c r="U64" s="11"/>
      <c r="V64" s="11"/>
      <c r="W64" s="11"/>
      <c r="X64" s="11">
        <v>59000</v>
      </c>
      <c r="Y64" s="11"/>
      <c r="Z64" s="24">
        <f t="shared" si="12"/>
        <v>121464</v>
      </c>
      <c r="AA64" s="24">
        <f t="shared" si="2"/>
        <v>4580.531999999999</v>
      </c>
      <c r="AB64" s="24"/>
      <c r="AC64" s="24">
        <f t="shared" si="16"/>
        <v>1739.8919999999998</v>
      </c>
      <c r="AD64" s="26">
        <f t="shared" si="3"/>
        <v>830.92</v>
      </c>
      <c r="AE64" s="8"/>
      <c r="AF64" s="8"/>
      <c r="AG64" s="26"/>
      <c r="AH64" s="24">
        <f t="shared" si="4"/>
        <v>4189.9439999999995</v>
      </c>
      <c r="AI64" s="24"/>
      <c r="AJ64" s="24">
        <f t="shared" si="13"/>
        <v>163716.81699999998</v>
      </c>
    </row>
    <row r="65" spans="1:36" ht="15.75">
      <c r="A65" s="3" t="s">
        <v>57</v>
      </c>
      <c r="B65" s="4" t="s">
        <v>39</v>
      </c>
      <c r="C65" s="3" t="s">
        <v>2</v>
      </c>
      <c r="D65" s="18">
        <v>1286.3</v>
      </c>
      <c r="E65" s="11">
        <f t="shared" si="5"/>
        <v>5556.816</v>
      </c>
      <c r="F65" s="11">
        <f t="shared" si="6"/>
        <v>18368.363999999998</v>
      </c>
      <c r="G65" s="11">
        <f t="shared" si="7"/>
        <v>18214.007999999998</v>
      </c>
      <c r="H65" s="11">
        <f t="shared" si="8"/>
        <v>4013.256</v>
      </c>
      <c r="I65" s="11">
        <f t="shared" si="9"/>
        <v>926.136</v>
      </c>
      <c r="J65" s="11">
        <f t="shared" si="10"/>
        <v>2778.408</v>
      </c>
      <c r="K65" s="11">
        <f>32*8*4+32*6*2</f>
        <v>1408</v>
      </c>
      <c r="L65" s="8">
        <f>144.73*3</f>
        <v>434.18999999999994</v>
      </c>
      <c r="M65" s="8"/>
      <c r="N65" s="8"/>
      <c r="O65" s="16">
        <f t="shared" si="0"/>
        <v>3537.3250000000003</v>
      </c>
      <c r="P65" s="24">
        <f t="shared" si="11"/>
        <v>55236.503</v>
      </c>
      <c r="Q65" s="24">
        <f>D65*1.27*5+D65*1.34*7</f>
        <v>20233.499</v>
      </c>
      <c r="R65" s="26">
        <f t="shared" si="1"/>
        <v>47464.47</v>
      </c>
      <c r="S65" s="11">
        <v>11250</v>
      </c>
      <c r="T65" s="11"/>
      <c r="U65" s="11"/>
      <c r="V65" s="11">
        <v>40700</v>
      </c>
      <c r="W65" s="11"/>
      <c r="X65" s="11"/>
      <c r="Y65" s="11"/>
      <c r="Z65" s="24">
        <f t="shared" si="12"/>
        <v>51950</v>
      </c>
      <c r="AA65" s="24">
        <f t="shared" si="2"/>
        <v>19911.924</v>
      </c>
      <c r="AB65" s="24"/>
      <c r="AC65" s="24">
        <f t="shared" si="16"/>
        <v>7563.4439999999995</v>
      </c>
      <c r="AD65" s="26">
        <f t="shared" si="3"/>
        <v>3604.04</v>
      </c>
      <c r="AE65" s="8"/>
      <c r="AF65" s="8"/>
      <c r="AG65" s="26"/>
      <c r="AH65" s="24">
        <f t="shared" si="4"/>
        <v>18214.007999999998</v>
      </c>
      <c r="AI65" s="24">
        <v>57500</v>
      </c>
      <c r="AJ65" s="24">
        <f t="shared" si="13"/>
        <v>281677.88800000004</v>
      </c>
    </row>
    <row r="66" spans="1:36" ht="15.75">
      <c r="A66" s="3" t="s">
        <v>57</v>
      </c>
      <c r="B66" s="4" t="s">
        <v>58</v>
      </c>
      <c r="C66" s="3" t="s">
        <v>2</v>
      </c>
      <c r="D66" s="18">
        <v>583.1</v>
      </c>
      <c r="E66" s="11">
        <f t="shared" si="5"/>
        <v>2518.992</v>
      </c>
      <c r="F66" s="11">
        <f t="shared" si="6"/>
        <v>8326.668</v>
      </c>
      <c r="G66" s="11">
        <f t="shared" si="7"/>
        <v>8256.696</v>
      </c>
      <c r="H66" s="11">
        <f t="shared" si="8"/>
        <v>1819.2720000000004</v>
      </c>
      <c r="I66" s="11">
        <f t="shared" si="9"/>
        <v>419.832</v>
      </c>
      <c r="J66" s="11">
        <f t="shared" si="10"/>
        <v>1259.496</v>
      </c>
      <c r="K66" s="11">
        <f>6*6*2</f>
        <v>72</v>
      </c>
      <c r="L66" s="8">
        <f>144.73*20</f>
        <v>2894.6</v>
      </c>
      <c r="M66" s="8"/>
      <c r="N66" s="8"/>
      <c r="O66" s="16">
        <f t="shared" si="0"/>
        <v>1603.525</v>
      </c>
      <c r="P66" s="24">
        <f t="shared" si="11"/>
        <v>27171.081</v>
      </c>
      <c r="Q66" s="24"/>
      <c r="R66" s="26">
        <f t="shared" si="1"/>
        <v>21516.390000000003</v>
      </c>
      <c r="S66" s="11"/>
      <c r="T66" s="11"/>
      <c r="U66" s="11"/>
      <c r="V66" s="11">
        <v>39750</v>
      </c>
      <c r="W66" s="11"/>
      <c r="X66" s="11"/>
      <c r="Y66" s="11"/>
      <c r="Z66" s="24">
        <f t="shared" si="12"/>
        <v>39750</v>
      </c>
      <c r="AA66" s="24">
        <f t="shared" si="2"/>
        <v>9026.388</v>
      </c>
      <c r="AB66" s="24"/>
      <c r="AC66" s="24">
        <f t="shared" si="16"/>
        <v>3428.6279999999997</v>
      </c>
      <c r="AD66" s="26">
        <f t="shared" si="3"/>
        <v>1635.0800000000002</v>
      </c>
      <c r="AE66" s="8"/>
      <c r="AF66" s="8"/>
      <c r="AG66" s="26"/>
      <c r="AH66" s="24">
        <f t="shared" si="4"/>
        <v>8256.696</v>
      </c>
      <c r="AI66" s="24">
        <v>57500</v>
      </c>
      <c r="AJ66" s="24">
        <f t="shared" si="13"/>
        <v>168284.263</v>
      </c>
    </row>
    <row r="67" spans="1:36" ht="15.75">
      <c r="A67" s="3" t="s">
        <v>57</v>
      </c>
      <c r="B67" s="4" t="s">
        <v>59</v>
      </c>
      <c r="C67" s="3" t="s">
        <v>2</v>
      </c>
      <c r="D67" s="18">
        <v>1346.8</v>
      </c>
      <c r="E67" s="11">
        <f t="shared" si="5"/>
        <v>5818.1759999999995</v>
      </c>
      <c r="F67" s="11">
        <f t="shared" si="6"/>
        <v>19232.303999999996</v>
      </c>
      <c r="G67" s="11">
        <f t="shared" si="7"/>
        <v>19070.688</v>
      </c>
      <c r="H67" s="11">
        <f t="shared" si="8"/>
        <v>4202.016</v>
      </c>
      <c r="I67" s="11">
        <f t="shared" si="9"/>
        <v>969.6959999999999</v>
      </c>
      <c r="J67" s="11">
        <f t="shared" si="10"/>
        <v>2909.0879999999997</v>
      </c>
      <c r="K67" s="11">
        <f>17*8*4+17*6*2</f>
        <v>748</v>
      </c>
      <c r="L67" s="8">
        <f>144.73*23</f>
        <v>3328.79</v>
      </c>
      <c r="M67" s="8"/>
      <c r="N67" s="8"/>
      <c r="O67" s="16">
        <f aca="true" t="shared" si="17" ref="O67:O130">D67*0.55*5</f>
        <v>3703.7</v>
      </c>
      <c r="P67" s="24">
        <f t="shared" si="11"/>
        <v>59982.45799999999</v>
      </c>
      <c r="Q67" s="24"/>
      <c r="R67" s="26">
        <f aca="true" t="shared" si="18" ref="R67:R130">D67*3.18*5+D67*3*7</f>
        <v>49696.92</v>
      </c>
      <c r="S67" s="11">
        <v>16500</v>
      </c>
      <c r="T67" s="11"/>
      <c r="U67" s="11">
        <v>29050</v>
      </c>
      <c r="V67" s="11">
        <v>49290</v>
      </c>
      <c r="W67" s="11"/>
      <c r="X67" s="11"/>
      <c r="Y67" s="11"/>
      <c r="Z67" s="24">
        <f t="shared" si="12"/>
        <v>94840</v>
      </c>
      <c r="AA67" s="24">
        <f aca="true" t="shared" si="19" ref="AA67:AA130">D67*1.29*12</f>
        <v>20848.464</v>
      </c>
      <c r="AB67" s="24"/>
      <c r="AC67" s="24">
        <f t="shared" si="16"/>
        <v>7919.184</v>
      </c>
      <c r="AD67" s="26">
        <f aca="true" t="shared" si="20" ref="AD67:AD130">D67*0.4*7+0.48*5</f>
        <v>3773.44</v>
      </c>
      <c r="AE67" s="8"/>
      <c r="AF67" s="8"/>
      <c r="AG67" s="26"/>
      <c r="AH67" s="24">
        <f aca="true" t="shared" si="21" ref="AH67:AH130">D67*1.18*12</f>
        <v>19070.688</v>
      </c>
      <c r="AI67" s="24">
        <v>57500</v>
      </c>
      <c r="AJ67" s="24">
        <f t="shared" si="13"/>
        <v>313631.154</v>
      </c>
    </row>
    <row r="68" spans="1:36" ht="15.75">
      <c r="A68" s="3" t="s">
        <v>57</v>
      </c>
      <c r="B68" s="4" t="s">
        <v>15</v>
      </c>
      <c r="C68" s="3" t="s">
        <v>2</v>
      </c>
      <c r="D68" s="18">
        <v>2024.5</v>
      </c>
      <c r="E68" s="11">
        <f aca="true" t="shared" si="22" ref="E68:E131">D68*0.36*12</f>
        <v>8745.84</v>
      </c>
      <c r="F68" s="11">
        <f aca="true" t="shared" si="23" ref="F68:F131">D68*1.19*12</f>
        <v>28909.859999999997</v>
      </c>
      <c r="G68" s="11">
        <f aca="true" t="shared" si="24" ref="G68:G131">D68*1.18*12</f>
        <v>28666.92</v>
      </c>
      <c r="H68" s="11">
        <f aca="true" t="shared" si="25" ref="H68:H131">D68*0.26*12</f>
        <v>6316.4400000000005</v>
      </c>
      <c r="I68" s="11">
        <f aca="true" t="shared" si="26" ref="I68:I131">D68*0.06*12</f>
        <v>1457.6399999999999</v>
      </c>
      <c r="J68" s="11">
        <f aca="true" t="shared" si="27" ref="J68:J131">D68*0.18*12</f>
        <v>4372.92</v>
      </c>
      <c r="K68" s="11">
        <f>48*8+48*6*2</f>
        <v>960</v>
      </c>
      <c r="L68" s="8">
        <f>144.73*3</f>
        <v>434.18999999999994</v>
      </c>
      <c r="M68" s="8"/>
      <c r="N68" s="8"/>
      <c r="O68" s="16">
        <f t="shared" si="17"/>
        <v>5567.375000000001</v>
      </c>
      <c r="P68" s="24">
        <f aca="true" t="shared" si="28" ref="P68:P131">SUM(E68:O68)</f>
        <v>85431.185</v>
      </c>
      <c r="Q68" s="24">
        <f>D68*1.27*5+D68*1.34*7</f>
        <v>31845.385000000002</v>
      </c>
      <c r="R68" s="26">
        <f t="shared" si="18"/>
        <v>74704.05</v>
      </c>
      <c r="S68" s="11">
        <v>7917</v>
      </c>
      <c r="T68" s="11"/>
      <c r="U68" s="11"/>
      <c r="V68" s="11"/>
      <c r="W68" s="11"/>
      <c r="X68" s="11"/>
      <c r="Y68" s="11"/>
      <c r="Z68" s="24">
        <f aca="true" t="shared" si="29" ref="Z68:Z131">SUM(S68:X68)</f>
        <v>7917</v>
      </c>
      <c r="AA68" s="24">
        <f t="shared" si="19"/>
        <v>31339.260000000002</v>
      </c>
      <c r="AB68" s="24"/>
      <c r="AC68" s="24">
        <f t="shared" si="16"/>
        <v>11904.06</v>
      </c>
      <c r="AD68" s="26">
        <f t="shared" si="20"/>
        <v>5671</v>
      </c>
      <c r="AE68" s="8"/>
      <c r="AF68" s="8"/>
      <c r="AG68" s="26"/>
      <c r="AH68" s="24">
        <f t="shared" si="21"/>
        <v>28666.92</v>
      </c>
      <c r="AI68" s="24">
        <v>57500</v>
      </c>
      <c r="AJ68" s="24">
        <f aca="true" t="shared" si="30" ref="AJ68:AJ131">P68+Q68+R68+Z68+AA68+AB68+AC68+AD68+AG68+AH68+AI68</f>
        <v>334978.86</v>
      </c>
    </row>
    <row r="69" spans="1:36" ht="15.75">
      <c r="A69" s="3" t="s">
        <v>57</v>
      </c>
      <c r="B69" s="4" t="s">
        <v>17</v>
      </c>
      <c r="C69" s="3" t="s">
        <v>2</v>
      </c>
      <c r="D69" s="18">
        <v>2353</v>
      </c>
      <c r="E69" s="11">
        <f t="shared" si="22"/>
        <v>10164.96</v>
      </c>
      <c r="F69" s="11">
        <f t="shared" si="23"/>
        <v>33600.84</v>
      </c>
      <c r="G69" s="11">
        <f t="shared" si="24"/>
        <v>33318.479999999996</v>
      </c>
      <c r="H69" s="11">
        <f t="shared" si="25"/>
        <v>7341.36</v>
      </c>
      <c r="I69" s="11">
        <f t="shared" si="26"/>
        <v>1694.16</v>
      </c>
      <c r="J69" s="11">
        <f t="shared" si="27"/>
        <v>5082.48</v>
      </c>
      <c r="K69" s="11">
        <f>56*8+56*6*2</f>
        <v>1120</v>
      </c>
      <c r="L69" s="8">
        <f>144.73*3</f>
        <v>434.18999999999994</v>
      </c>
      <c r="M69" s="8"/>
      <c r="N69" s="8">
        <f>884*20.77</f>
        <v>18360.68</v>
      </c>
      <c r="O69" s="16">
        <f t="shared" si="17"/>
        <v>6470.75</v>
      </c>
      <c r="P69" s="24">
        <f t="shared" si="28"/>
        <v>117587.9</v>
      </c>
      <c r="Q69" s="24">
        <f>D69*1.27*5+D69*1.34*7</f>
        <v>37012.69</v>
      </c>
      <c r="R69" s="26">
        <f t="shared" si="18"/>
        <v>86825.7</v>
      </c>
      <c r="S69" s="11"/>
      <c r="T69" s="11"/>
      <c r="U69" s="11"/>
      <c r="V69" s="11"/>
      <c r="W69" s="11"/>
      <c r="X69" s="11"/>
      <c r="Y69" s="11"/>
      <c r="Z69" s="24">
        <f t="shared" si="29"/>
        <v>0</v>
      </c>
      <c r="AA69" s="24">
        <f t="shared" si="19"/>
        <v>36424.44</v>
      </c>
      <c r="AB69" s="24"/>
      <c r="AC69" s="24">
        <f t="shared" si="16"/>
        <v>13835.64</v>
      </c>
      <c r="AD69" s="26">
        <f t="shared" si="20"/>
        <v>6590.8</v>
      </c>
      <c r="AE69" s="8"/>
      <c r="AF69" s="8"/>
      <c r="AG69" s="26"/>
      <c r="AH69" s="24">
        <f t="shared" si="21"/>
        <v>33318.479999999996</v>
      </c>
      <c r="AI69" s="24">
        <v>57500</v>
      </c>
      <c r="AJ69" s="24">
        <f t="shared" si="30"/>
        <v>389095.64999999997</v>
      </c>
    </row>
    <row r="70" spans="1:36" ht="15.75">
      <c r="A70" s="3" t="s">
        <v>57</v>
      </c>
      <c r="B70" s="4" t="s">
        <v>60</v>
      </c>
      <c r="C70" s="3" t="s">
        <v>2</v>
      </c>
      <c r="D70" s="18">
        <v>504.1</v>
      </c>
      <c r="E70" s="11">
        <f t="shared" si="22"/>
        <v>2177.712</v>
      </c>
      <c r="F70" s="11">
        <f t="shared" si="23"/>
        <v>7198.548000000001</v>
      </c>
      <c r="G70" s="11">
        <f t="shared" si="24"/>
        <v>7138.056</v>
      </c>
      <c r="H70" s="11">
        <f t="shared" si="25"/>
        <v>1572.792</v>
      </c>
      <c r="I70" s="11">
        <f t="shared" si="26"/>
        <v>362.952</v>
      </c>
      <c r="J70" s="11">
        <f t="shared" si="27"/>
        <v>1088.856</v>
      </c>
      <c r="K70" s="11">
        <f>8*8*4+8*6*2</f>
        <v>352</v>
      </c>
      <c r="L70" s="8">
        <f>144.73*12</f>
        <v>1736.7599999999998</v>
      </c>
      <c r="M70" s="8"/>
      <c r="N70" s="8">
        <f>415*20.77</f>
        <v>8619.55</v>
      </c>
      <c r="O70" s="16">
        <f t="shared" si="17"/>
        <v>1386.2750000000003</v>
      </c>
      <c r="P70" s="24">
        <f t="shared" si="28"/>
        <v>31633.501</v>
      </c>
      <c r="Q70" s="24"/>
      <c r="R70" s="26">
        <f t="shared" si="18"/>
        <v>18601.290000000005</v>
      </c>
      <c r="S70" s="11"/>
      <c r="T70" s="11"/>
      <c r="U70" s="11"/>
      <c r="V70" s="11"/>
      <c r="W70" s="11"/>
      <c r="X70" s="11"/>
      <c r="Y70" s="11"/>
      <c r="Z70" s="24">
        <f t="shared" si="29"/>
        <v>0</v>
      </c>
      <c r="AA70" s="24">
        <f t="shared" si="19"/>
        <v>7803.468000000001</v>
      </c>
      <c r="AB70" s="24"/>
      <c r="AC70" s="24">
        <f t="shared" si="16"/>
        <v>2964.108</v>
      </c>
      <c r="AD70" s="26">
        <f t="shared" si="20"/>
        <v>1413.88</v>
      </c>
      <c r="AE70" s="8"/>
      <c r="AF70" s="8"/>
      <c r="AG70" s="26"/>
      <c r="AH70" s="24">
        <f t="shared" si="21"/>
        <v>7138.056</v>
      </c>
      <c r="AI70" s="24">
        <v>57500</v>
      </c>
      <c r="AJ70" s="24">
        <f t="shared" si="30"/>
        <v>127054.303</v>
      </c>
    </row>
    <row r="71" spans="1:36" ht="15.75">
      <c r="A71" s="3" t="s">
        <v>61</v>
      </c>
      <c r="B71" s="4" t="s">
        <v>35</v>
      </c>
      <c r="C71" s="3" t="s">
        <v>2</v>
      </c>
      <c r="D71" s="21">
        <v>90</v>
      </c>
      <c r="E71" s="11">
        <f t="shared" si="22"/>
        <v>388.79999999999995</v>
      </c>
      <c r="F71" s="11">
        <f t="shared" si="23"/>
        <v>1285.1999999999998</v>
      </c>
      <c r="G71" s="11">
        <f t="shared" si="24"/>
        <v>1274.3999999999999</v>
      </c>
      <c r="H71" s="11">
        <f t="shared" si="25"/>
        <v>280.8</v>
      </c>
      <c r="I71" s="11">
        <f t="shared" si="26"/>
        <v>64.8</v>
      </c>
      <c r="J71" s="11">
        <f t="shared" si="27"/>
        <v>194.39999999999998</v>
      </c>
      <c r="K71" s="11">
        <v>1150</v>
      </c>
      <c r="L71" s="8"/>
      <c r="M71" s="8"/>
      <c r="N71" s="8"/>
      <c r="O71" s="16">
        <f t="shared" si="17"/>
        <v>247.50000000000003</v>
      </c>
      <c r="P71" s="24">
        <f t="shared" si="28"/>
        <v>4885.9</v>
      </c>
      <c r="Q71" s="24"/>
      <c r="R71" s="26">
        <f t="shared" si="18"/>
        <v>3321</v>
      </c>
      <c r="S71" s="11"/>
      <c r="T71" s="11"/>
      <c r="U71" s="11"/>
      <c r="V71" s="11"/>
      <c r="W71" s="11"/>
      <c r="X71" s="11"/>
      <c r="Y71" s="11"/>
      <c r="Z71" s="24">
        <f t="shared" si="29"/>
        <v>0</v>
      </c>
      <c r="AA71" s="24">
        <f t="shared" si="19"/>
        <v>1393.2</v>
      </c>
      <c r="AB71" s="24"/>
      <c r="AC71" s="24">
        <f t="shared" si="16"/>
        <v>529.2</v>
      </c>
      <c r="AD71" s="26">
        <f t="shared" si="20"/>
        <v>254.4</v>
      </c>
      <c r="AE71" s="8"/>
      <c r="AF71" s="8"/>
      <c r="AG71" s="26"/>
      <c r="AH71" s="24">
        <f t="shared" si="21"/>
        <v>1274.3999999999999</v>
      </c>
      <c r="AI71" s="24"/>
      <c r="AJ71" s="24">
        <f t="shared" si="30"/>
        <v>11658.1</v>
      </c>
    </row>
    <row r="72" spans="1:36" ht="15.75">
      <c r="A72" s="3" t="s">
        <v>62</v>
      </c>
      <c r="B72" s="4" t="s">
        <v>34</v>
      </c>
      <c r="C72" s="3" t="s">
        <v>2</v>
      </c>
      <c r="D72" s="18">
        <v>2717.6</v>
      </c>
      <c r="E72" s="11">
        <f t="shared" si="22"/>
        <v>11740.032</v>
      </c>
      <c r="F72" s="11">
        <f t="shared" si="23"/>
        <v>38807.328</v>
      </c>
      <c r="G72" s="11">
        <f t="shared" si="24"/>
        <v>38481.21599999999</v>
      </c>
      <c r="H72" s="11">
        <f t="shared" si="25"/>
        <v>8478.912</v>
      </c>
      <c r="I72" s="11">
        <f t="shared" si="26"/>
        <v>1956.6719999999998</v>
      </c>
      <c r="J72" s="11">
        <f t="shared" si="27"/>
        <v>5870.016</v>
      </c>
      <c r="K72" s="11">
        <f>60*6*2</f>
        <v>720</v>
      </c>
      <c r="L72" s="8">
        <f>144.73*3</f>
        <v>434.18999999999994</v>
      </c>
      <c r="M72" s="8"/>
      <c r="N72" s="8"/>
      <c r="O72" s="16">
        <f t="shared" si="17"/>
        <v>7473.400000000001</v>
      </c>
      <c r="P72" s="24">
        <f t="shared" si="28"/>
        <v>113961.766</v>
      </c>
      <c r="Q72" s="24">
        <f>D72*1.27*5+D72*1.34*7</f>
        <v>42747.848</v>
      </c>
      <c r="R72" s="26">
        <f t="shared" si="18"/>
        <v>100279.44</v>
      </c>
      <c r="S72" s="11"/>
      <c r="T72" s="11">
        <v>121500.01</v>
      </c>
      <c r="U72" s="11"/>
      <c r="V72" s="11"/>
      <c r="W72" s="11"/>
      <c r="X72" s="11">
        <v>14650</v>
      </c>
      <c r="Y72" s="11"/>
      <c r="Z72" s="24">
        <f t="shared" si="29"/>
        <v>136150.01</v>
      </c>
      <c r="AA72" s="24">
        <f t="shared" si="19"/>
        <v>42068.448000000004</v>
      </c>
      <c r="AB72" s="24"/>
      <c r="AC72" s="24">
        <f t="shared" si="16"/>
        <v>15979.488000000001</v>
      </c>
      <c r="AD72" s="26">
        <f t="shared" si="20"/>
        <v>7611.679999999999</v>
      </c>
      <c r="AE72" s="8"/>
      <c r="AF72" s="8"/>
      <c r="AG72" s="26"/>
      <c r="AH72" s="24">
        <f t="shared" si="21"/>
        <v>38481.21599999999</v>
      </c>
      <c r="AI72" s="24">
        <v>57500</v>
      </c>
      <c r="AJ72" s="24">
        <f t="shared" si="30"/>
        <v>554779.896</v>
      </c>
    </row>
    <row r="73" spans="1:36" ht="15.75">
      <c r="A73" s="3" t="s">
        <v>62</v>
      </c>
      <c r="B73" s="4" t="s">
        <v>63</v>
      </c>
      <c r="C73" s="3" t="s">
        <v>2</v>
      </c>
      <c r="D73" s="18">
        <v>2698.4</v>
      </c>
      <c r="E73" s="11">
        <f t="shared" si="22"/>
        <v>11657.088</v>
      </c>
      <c r="F73" s="11">
        <f t="shared" si="23"/>
        <v>38533.152</v>
      </c>
      <c r="G73" s="11">
        <f t="shared" si="24"/>
        <v>38209.344</v>
      </c>
      <c r="H73" s="11">
        <f t="shared" si="25"/>
        <v>8419.008000000002</v>
      </c>
      <c r="I73" s="11">
        <f t="shared" si="26"/>
        <v>1942.848</v>
      </c>
      <c r="J73" s="11">
        <f t="shared" si="27"/>
        <v>5828.544</v>
      </c>
      <c r="K73" s="11">
        <f>60*6*2</f>
        <v>720</v>
      </c>
      <c r="L73" s="8">
        <f>144.73*3</f>
        <v>434.18999999999994</v>
      </c>
      <c r="M73" s="8"/>
      <c r="N73" s="8"/>
      <c r="O73" s="16">
        <f t="shared" si="17"/>
        <v>7420.6</v>
      </c>
      <c r="P73" s="24">
        <f t="shared" si="28"/>
        <v>113164.774</v>
      </c>
      <c r="Q73" s="24">
        <f>D73*1.27*5+D73*1.34*7</f>
        <v>42445.832</v>
      </c>
      <c r="R73" s="26">
        <f t="shared" si="18"/>
        <v>99570.96</v>
      </c>
      <c r="S73" s="11">
        <v>18096</v>
      </c>
      <c r="T73" s="11">
        <v>15900</v>
      </c>
      <c r="U73" s="11"/>
      <c r="V73" s="11"/>
      <c r="W73" s="11"/>
      <c r="X73" s="11">
        <v>108730</v>
      </c>
      <c r="Y73" s="11"/>
      <c r="Z73" s="24">
        <f t="shared" si="29"/>
        <v>142726</v>
      </c>
      <c r="AA73" s="24">
        <f t="shared" si="19"/>
        <v>41771.232</v>
      </c>
      <c r="AB73" s="24"/>
      <c r="AC73" s="24">
        <f t="shared" si="16"/>
        <v>15866.592</v>
      </c>
      <c r="AD73" s="26">
        <f t="shared" si="20"/>
        <v>7557.92</v>
      </c>
      <c r="AE73" s="8"/>
      <c r="AF73" s="8"/>
      <c r="AG73" s="26"/>
      <c r="AH73" s="24">
        <f t="shared" si="21"/>
        <v>38209.344</v>
      </c>
      <c r="AI73" s="24">
        <v>57500</v>
      </c>
      <c r="AJ73" s="24">
        <f t="shared" si="30"/>
        <v>558812.654</v>
      </c>
    </row>
    <row r="74" spans="1:36" ht="15.75">
      <c r="A74" s="3" t="s">
        <v>62</v>
      </c>
      <c r="B74" s="4" t="s">
        <v>35</v>
      </c>
      <c r="C74" s="3" t="s">
        <v>2</v>
      </c>
      <c r="D74" s="18">
        <v>4512.9</v>
      </c>
      <c r="E74" s="11">
        <f t="shared" si="22"/>
        <v>19495.727999999996</v>
      </c>
      <c r="F74" s="11">
        <f t="shared" si="23"/>
        <v>64444.212</v>
      </c>
      <c r="G74" s="11">
        <f t="shared" si="24"/>
        <v>63902.66399999999</v>
      </c>
      <c r="H74" s="11">
        <f t="shared" si="25"/>
        <v>14080.248</v>
      </c>
      <c r="I74" s="11">
        <f t="shared" si="26"/>
        <v>3249.2879999999996</v>
      </c>
      <c r="J74" s="11">
        <f t="shared" si="27"/>
        <v>9747.863999999998</v>
      </c>
      <c r="K74" s="11">
        <f>90*6*2</f>
        <v>1080</v>
      </c>
      <c r="L74" s="8">
        <f>144.73*3</f>
        <v>434.18999999999994</v>
      </c>
      <c r="M74" s="8"/>
      <c r="N74" s="8"/>
      <c r="O74" s="16">
        <f t="shared" si="17"/>
        <v>12410.474999999999</v>
      </c>
      <c r="P74" s="24">
        <f t="shared" si="28"/>
        <v>188844.669</v>
      </c>
      <c r="Q74" s="24">
        <f>D74*1.27*5+D74*1.34*7</f>
        <v>70987.917</v>
      </c>
      <c r="R74" s="26">
        <f t="shared" si="18"/>
        <v>166526.01</v>
      </c>
      <c r="S74" s="11">
        <v>10540</v>
      </c>
      <c r="T74" s="11">
        <v>121500</v>
      </c>
      <c r="U74" s="11"/>
      <c r="V74" s="11"/>
      <c r="W74" s="11"/>
      <c r="X74" s="11"/>
      <c r="Y74" s="11"/>
      <c r="Z74" s="24">
        <f t="shared" si="29"/>
        <v>132040</v>
      </c>
      <c r="AA74" s="24">
        <f t="shared" si="19"/>
        <v>69859.692</v>
      </c>
      <c r="AB74" s="24"/>
      <c r="AC74" s="24">
        <f t="shared" si="16"/>
        <v>26535.852</v>
      </c>
      <c r="AD74" s="26">
        <f t="shared" si="20"/>
        <v>12638.519999999999</v>
      </c>
      <c r="AE74" s="8"/>
      <c r="AF74" s="8"/>
      <c r="AG74" s="26"/>
      <c r="AH74" s="24">
        <f t="shared" si="21"/>
        <v>63902.66399999999</v>
      </c>
      <c r="AI74" s="24">
        <v>57500</v>
      </c>
      <c r="AJ74" s="24">
        <f t="shared" si="30"/>
        <v>788835.324</v>
      </c>
    </row>
    <row r="75" spans="1:36" ht="15.75">
      <c r="A75" s="3" t="s">
        <v>62</v>
      </c>
      <c r="B75" s="4" t="s">
        <v>3</v>
      </c>
      <c r="C75" s="3" t="s">
        <v>2</v>
      </c>
      <c r="D75" s="18">
        <v>120.7</v>
      </c>
      <c r="E75" s="11">
        <f t="shared" si="22"/>
        <v>521.424</v>
      </c>
      <c r="F75" s="11">
        <f t="shared" si="23"/>
        <v>1723.596</v>
      </c>
      <c r="G75" s="11">
        <f t="shared" si="24"/>
        <v>1709.1119999999999</v>
      </c>
      <c r="H75" s="11">
        <f t="shared" si="25"/>
        <v>376.584</v>
      </c>
      <c r="I75" s="11">
        <f t="shared" si="26"/>
        <v>86.904</v>
      </c>
      <c r="J75" s="11">
        <f t="shared" si="27"/>
        <v>260.712</v>
      </c>
      <c r="K75" s="11">
        <f>2*230</f>
        <v>460</v>
      </c>
      <c r="L75" s="8"/>
      <c r="M75" s="8"/>
      <c r="N75" s="8"/>
      <c r="O75" s="16">
        <f t="shared" si="17"/>
        <v>331.925</v>
      </c>
      <c r="P75" s="24">
        <f t="shared" si="28"/>
        <v>5470.256999999999</v>
      </c>
      <c r="Q75" s="24"/>
      <c r="R75" s="26">
        <f t="shared" si="18"/>
        <v>4453.83</v>
      </c>
      <c r="S75" s="11"/>
      <c r="T75" s="11"/>
      <c r="U75" s="11"/>
      <c r="V75" s="11"/>
      <c r="W75" s="11"/>
      <c r="X75" s="11"/>
      <c r="Y75" s="11"/>
      <c r="Z75" s="24">
        <f t="shared" si="29"/>
        <v>0</v>
      </c>
      <c r="AA75" s="24">
        <f t="shared" si="19"/>
        <v>1868.4360000000001</v>
      </c>
      <c r="AB75" s="24"/>
      <c r="AC75" s="24">
        <f t="shared" si="16"/>
        <v>709.716</v>
      </c>
      <c r="AD75" s="26">
        <f t="shared" si="20"/>
        <v>340.36</v>
      </c>
      <c r="AE75" s="8"/>
      <c r="AF75" s="8"/>
      <c r="AG75" s="26"/>
      <c r="AH75" s="24">
        <f t="shared" si="21"/>
        <v>1709.1119999999999</v>
      </c>
      <c r="AI75" s="24"/>
      <c r="AJ75" s="24">
        <f t="shared" si="30"/>
        <v>14551.711</v>
      </c>
    </row>
    <row r="76" spans="1:36" ht="15.75">
      <c r="A76" s="3" t="s">
        <v>62</v>
      </c>
      <c r="B76" s="4" t="s">
        <v>64</v>
      </c>
      <c r="C76" s="3" t="s">
        <v>2</v>
      </c>
      <c r="D76" s="18">
        <v>1535.3</v>
      </c>
      <c r="E76" s="11">
        <f t="shared" si="22"/>
        <v>6632.495999999999</v>
      </c>
      <c r="F76" s="11">
        <f t="shared" si="23"/>
        <v>21924.084</v>
      </c>
      <c r="G76" s="11">
        <f t="shared" si="24"/>
        <v>21739.847999999998</v>
      </c>
      <c r="H76" s="11">
        <f t="shared" si="25"/>
        <v>4790.136</v>
      </c>
      <c r="I76" s="11">
        <f t="shared" si="26"/>
        <v>1105.416</v>
      </c>
      <c r="J76" s="11">
        <f t="shared" si="27"/>
        <v>3316.2479999999996</v>
      </c>
      <c r="K76" s="11">
        <f>33*6*2</f>
        <v>396</v>
      </c>
      <c r="L76" s="8">
        <f>144.73*2</f>
        <v>289.46</v>
      </c>
      <c r="M76" s="8"/>
      <c r="N76" s="8"/>
      <c r="O76" s="16">
        <f t="shared" si="17"/>
        <v>4222.075000000001</v>
      </c>
      <c r="P76" s="24">
        <f t="shared" si="28"/>
        <v>64415.76299999999</v>
      </c>
      <c r="Q76" s="24">
        <f>D76*1.27*5+D76*1.34*7</f>
        <v>24150.269</v>
      </c>
      <c r="R76" s="26">
        <f t="shared" si="18"/>
        <v>56652.56999999999</v>
      </c>
      <c r="S76" s="11"/>
      <c r="T76" s="11"/>
      <c r="U76" s="11"/>
      <c r="V76" s="11"/>
      <c r="W76" s="11"/>
      <c r="X76" s="11"/>
      <c r="Y76" s="11"/>
      <c r="Z76" s="24">
        <f t="shared" si="29"/>
        <v>0</v>
      </c>
      <c r="AA76" s="24">
        <f t="shared" si="19"/>
        <v>23766.444</v>
      </c>
      <c r="AB76" s="24"/>
      <c r="AC76" s="24">
        <f t="shared" si="16"/>
        <v>9027.563999999998</v>
      </c>
      <c r="AD76" s="26">
        <f t="shared" si="20"/>
        <v>4301.24</v>
      </c>
      <c r="AE76" s="8">
        <v>59274.96</v>
      </c>
      <c r="AF76" s="8">
        <v>3475.88</v>
      </c>
      <c r="AG76" s="26">
        <f>SUM(AE76:AF76)</f>
        <v>62750.84</v>
      </c>
      <c r="AH76" s="24">
        <f t="shared" si="21"/>
        <v>21739.847999999998</v>
      </c>
      <c r="AI76" s="24"/>
      <c r="AJ76" s="24">
        <f t="shared" si="30"/>
        <v>266804.53799999994</v>
      </c>
    </row>
    <row r="77" spans="1:36" ht="15.75">
      <c r="A77" s="3" t="s">
        <v>62</v>
      </c>
      <c r="B77" s="4" t="s">
        <v>64</v>
      </c>
      <c r="C77" s="3" t="s">
        <v>65</v>
      </c>
      <c r="D77" s="18">
        <v>1274</v>
      </c>
      <c r="E77" s="11">
        <f t="shared" si="22"/>
        <v>5503.68</v>
      </c>
      <c r="F77" s="11">
        <f t="shared" si="23"/>
        <v>18192.72</v>
      </c>
      <c r="G77" s="11">
        <f t="shared" si="24"/>
        <v>18039.84</v>
      </c>
      <c r="H77" s="11">
        <f t="shared" si="25"/>
        <v>3974.88</v>
      </c>
      <c r="I77" s="11">
        <f t="shared" si="26"/>
        <v>917.28</v>
      </c>
      <c r="J77" s="11">
        <f t="shared" si="27"/>
        <v>2751.84</v>
      </c>
      <c r="K77" s="11">
        <f>28*6*2</f>
        <v>336</v>
      </c>
      <c r="L77" s="8">
        <f>144.73*2</f>
        <v>289.46</v>
      </c>
      <c r="M77" s="8"/>
      <c r="N77" s="8"/>
      <c r="O77" s="16">
        <f t="shared" si="17"/>
        <v>3503.5</v>
      </c>
      <c r="P77" s="24">
        <f t="shared" si="28"/>
        <v>53509.200000000004</v>
      </c>
      <c r="Q77" s="24">
        <f>D77*1.27*5+D77*1.34*7</f>
        <v>20040.02</v>
      </c>
      <c r="R77" s="26">
        <f t="shared" si="18"/>
        <v>47010.600000000006</v>
      </c>
      <c r="S77" s="11">
        <v>27690</v>
      </c>
      <c r="T77" s="11"/>
      <c r="U77" s="11"/>
      <c r="V77" s="11"/>
      <c r="W77" s="11"/>
      <c r="X77" s="11"/>
      <c r="Y77" s="11"/>
      <c r="Z77" s="24">
        <f t="shared" si="29"/>
        <v>27690</v>
      </c>
      <c r="AA77" s="24">
        <f t="shared" si="19"/>
        <v>19721.52</v>
      </c>
      <c r="AB77" s="24"/>
      <c r="AC77" s="24">
        <f t="shared" si="16"/>
        <v>7491.12</v>
      </c>
      <c r="AD77" s="26">
        <f t="shared" si="20"/>
        <v>3569.6000000000004</v>
      </c>
      <c r="AE77" s="8"/>
      <c r="AF77" s="8"/>
      <c r="AG77" s="26"/>
      <c r="AH77" s="24">
        <f t="shared" si="21"/>
        <v>18039.84</v>
      </c>
      <c r="AI77" s="24"/>
      <c r="AJ77" s="24">
        <f t="shared" si="30"/>
        <v>197071.9</v>
      </c>
    </row>
    <row r="78" spans="1:36" ht="15.75">
      <c r="A78" s="3" t="s">
        <v>62</v>
      </c>
      <c r="B78" s="4" t="s">
        <v>66</v>
      </c>
      <c r="C78" s="3" t="s">
        <v>2</v>
      </c>
      <c r="D78" s="18">
        <v>9523.6</v>
      </c>
      <c r="E78" s="11">
        <f t="shared" si="22"/>
        <v>41141.952000000005</v>
      </c>
      <c r="F78" s="11">
        <f t="shared" si="23"/>
        <v>135997.008</v>
      </c>
      <c r="G78" s="11">
        <f t="shared" si="24"/>
        <v>134854.176</v>
      </c>
      <c r="H78" s="11">
        <f t="shared" si="25"/>
        <v>29713.631999999998</v>
      </c>
      <c r="I78" s="11">
        <f t="shared" si="26"/>
        <v>6856.992</v>
      </c>
      <c r="J78" s="11">
        <f t="shared" si="27"/>
        <v>20570.976000000002</v>
      </c>
      <c r="K78" s="11">
        <f>180*6*2</f>
        <v>2160</v>
      </c>
      <c r="L78" s="8">
        <f>144.73*3</f>
        <v>434.18999999999994</v>
      </c>
      <c r="M78" s="8"/>
      <c r="N78" s="8"/>
      <c r="O78" s="16">
        <f t="shared" si="17"/>
        <v>26189.9</v>
      </c>
      <c r="P78" s="24">
        <f t="shared" si="28"/>
        <v>397918.8260000001</v>
      </c>
      <c r="Q78" s="24">
        <f>D78*1.27*5+D78*1.34*7</f>
        <v>149806.228</v>
      </c>
      <c r="R78" s="26">
        <f t="shared" si="18"/>
        <v>351420.8400000001</v>
      </c>
      <c r="S78" s="11">
        <v>132109</v>
      </c>
      <c r="T78" s="11"/>
      <c r="U78" s="11">
        <v>1472</v>
      </c>
      <c r="V78" s="11"/>
      <c r="W78" s="11">
        <f>4.6*220</f>
        <v>1011.9999999999999</v>
      </c>
      <c r="X78" s="11">
        <v>14650</v>
      </c>
      <c r="Y78" s="11"/>
      <c r="Z78" s="24">
        <f t="shared" si="29"/>
        <v>149243</v>
      </c>
      <c r="AA78" s="24">
        <f t="shared" si="19"/>
        <v>147425.328</v>
      </c>
      <c r="AB78" s="24"/>
      <c r="AC78" s="24">
        <f t="shared" si="16"/>
        <v>55998.768000000004</v>
      </c>
      <c r="AD78" s="26">
        <f t="shared" si="20"/>
        <v>26668.480000000003</v>
      </c>
      <c r="AE78" s="8"/>
      <c r="AF78" s="8"/>
      <c r="AG78" s="26"/>
      <c r="AH78" s="24">
        <f t="shared" si="21"/>
        <v>134854.176</v>
      </c>
      <c r="AI78" s="24"/>
      <c r="AJ78" s="24">
        <f t="shared" si="30"/>
        <v>1413335.6460000002</v>
      </c>
    </row>
    <row r="79" spans="1:36" ht="15.75">
      <c r="A79" s="5" t="s">
        <v>67</v>
      </c>
      <c r="B79" s="5" t="s">
        <v>1</v>
      </c>
      <c r="C79" s="6"/>
      <c r="D79" s="21">
        <v>66.6</v>
      </c>
      <c r="E79" s="11">
        <f t="shared" si="22"/>
        <v>287.71199999999993</v>
      </c>
      <c r="F79" s="11">
        <f t="shared" si="23"/>
        <v>951.0479999999999</v>
      </c>
      <c r="G79" s="11">
        <f t="shared" si="24"/>
        <v>943.0559999999999</v>
      </c>
      <c r="H79" s="11">
        <f t="shared" si="25"/>
        <v>207.79199999999997</v>
      </c>
      <c r="I79" s="11">
        <f t="shared" si="26"/>
        <v>47.952</v>
      </c>
      <c r="J79" s="11">
        <f t="shared" si="27"/>
        <v>143.85599999999997</v>
      </c>
      <c r="K79" s="11">
        <f>2*230</f>
        <v>460</v>
      </c>
      <c r="L79" s="8">
        <f>144.73*6</f>
        <v>868.3799999999999</v>
      </c>
      <c r="M79" s="8"/>
      <c r="N79" s="8"/>
      <c r="O79" s="16">
        <f t="shared" si="17"/>
        <v>183.15</v>
      </c>
      <c r="P79" s="24">
        <f t="shared" si="28"/>
        <v>4092.9459999999995</v>
      </c>
      <c r="Q79" s="24"/>
      <c r="R79" s="26">
        <f t="shared" si="18"/>
        <v>2457.54</v>
      </c>
      <c r="S79" s="11"/>
      <c r="T79" s="11"/>
      <c r="U79" s="11"/>
      <c r="V79" s="11"/>
      <c r="W79" s="11"/>
      <c r="X79" s="11"/>
      <c r="Y79" s="11"/>
      <c r="Z79" s="24">
        <f t="shared" si="29"/>
        <v>0</v>
      </c>
      <c r="AA79" s="24">
        <f t="shared" si="19"/>
        <v>1030.968</v>
      </c>
      <c r="AB79" s="24"/>
      <c r="AC79" s="24">
        <f t="shared" si="16"/>
        <v>391.60799999999995</v>
      </c>
      <c r="AD79" s="26">
        <f t="shared" si="20"/>
        <v>188.88000000000002</v>
      </c>
      <c r="AE79" s="8"/>
      <c r="AF79" s="8"/>
      <c r="AG79" s="26"/>
      <c r="AH79" s="24">
        <f t="shared" si="21"/>
        <v>943.0559999999999</v>
      </c>
      <c r="AI79" s="24"/>
      <c r="AJ79" s="24">
        <f t="shared" si="30"/>
        <v>9104.998</v>
      </c>
    </row>
    <row r="80" spans="1:36" ht="15.75">
      <c r="A80" s="5" t="s">
        <v>67</v>
      </c>
      <c r="B80" s="5" t="s">
        <v>68</v>
      </c>
      <c r="C80" s="6"/>
      <c r="D80" s="18">
        <v>69.2</v>
      </c>
      <c r="E80" s="11">
        <f t="shared" si="22"/>
        <v>298.94399999999996</v>
      </c>
      <c r="F80" s="11">
        <f t="shared" si="23"/>
        <v>988.1759999999999</v>
      </c>
      <c r="G80" s="11">
        <f t="shared" si="24"/>
        <v>979.8720000000001</v>
      </c>
      <c r="H80" s="11">
        <f t="shared" si="25"/>
        <v>215.904</v>
      </c>
      <c r="I80" s="11">
        <f t="shared" si="26"/>
        <v>49.824</v>
      </c>
      <c r="J80" s="11">
        <f t="shared" si="27"/>
        <v>149.47199999999998</v>
      </c>
      <c r="K80" s="11">
        <f>2*230</f>
        <v>460</v>
      </c>
      <c r="L80" s="8">
        <f>144.73*6</f>
        <v>868.3799999999999</v>
      </c>
      <c r="M80" s="8"/>
      <c r="N80" s="8"/>
      <c r="O80" s="16">
        <f t="shared" si="17"/>
        <v>190.3</v>
      </c>
      <c r="P80" s="24">
        <f t="shared" si="28"/>
        <v>4200.872</v>
      </c>
      <c r="Q80" s="24"/>
      <c r="R80" s="26">
        <f t="shared" si="18"/>
        <v>2553.4800000000005</v>
      </c>
      <c r="S80" s="11"/>
      <c r="T80" s="11"/>
      <c r="U80" s="11"/>
      <c r="V80" s="11"/>
      <c r="W80" s="11"/>
      <c r="X80" s="11"/>
      <c r="Y80" s="11"/>
      <c r="Z80" s="24">
        <f t="shared" si="29"/>
        <v>0</v>
      </c>
      <c r="AA80" s="24">
        <f t="shared" si="19"/>
        <v>1071.216</v>
      </c>
      <c r="AB80" s="24"/>
      <c r="AC80" s="24">
        <f t="shared" si="16"/>
        <v>406.896</v>
      </c>
      <c r="AD80" s="26">
        <f t="shared" si="20"/>
        <v>196.16000000000003</v>
      </c>
      <c r="AE80" s="8"/>
      <c r="AF80" s="8"/>
      <c r="AG80" s="26"/>
      <c r="AH80" s="24">
        <f t="shared" si="21"/>
        <v>979.8720000000001</v>
      </c>
      <c r="AI80" s="24"/>
      <c r="AJ80" s="24">
        <f t="shared" si="30"/>
        <v>9408.496000000001</v>
      </c>
    </row>
    <row r="81" spans="1:36" ht="15.75">
      <c r="A81" s="5" t="s">
        <v>67</v>
      </c>
      <c r="B81" s="5" t="s">
        <v>69</v>
      </c>
      <c r="C81" s="6"/>
      <c r="D81" s="21">
        <v>155.7</v>
      </c>
      <c r="E81" s="11">
        <f t="shared" si="22"/>
        <v>672.6239999999999</v>
      </c>
      <c r="F81" s="11">
        <f t="shared" si="23"/>
        <v>2223.3959999999997</v>
      </c>
      <c r="G81" s="11">
        <f t="shared" si="24"/>
        <v>2204.7119999999995</v>
      </c>
      <c r="H81" s="11">
        <f t="shared" si="25"/>
        <v>485.784</v>
      </c>
      <c r="I81" s="11">
        <f t="shared" si="26"/>
        <v>112.10399999999998</v>
      </c>
      <c r="J81" s="11">
        <f t="shared" si="27"/>
        <v>336.31199999999995</v>
      </c>
      <c r="K81" s="11">
        <f>2*230</f>
        <v>460</v>
      </c>
      <c r="L81" s="8">
        <f>144.73*6</f>
        <v>868.3799999999999</v>
      </c>
      <c r="M81" s="8"/>
      <c r="N81" s="8"/>
      <c r="O81" s="16">
        <f t="shared" si="17"/>
        <v>428.175</v>
      </c>
      <c r="P81" s="24">
        <f t="shared" si="28"/>
        <v>7791.486999999999</v>
      </c>
      <c r="Q81" s="24"/>
      <c r="R81" s="26">
        <f t="shared" si="18"/>
        <v>5745.33</v>
      </c>
      <c r="S81" s="11"/>
      <c r="T81" s="11"/>
      <c r="U81" s="11"/>
      <c r="V81" s="11"/>
      <c r="W81" s="11"/>
      <c r="X81" s="11"/>
      <c r="Y81" s="11"/>
      <c r="Z81" s="24">
        <f t="shared" si="29"/>
        <v>0</v>
      </c>
      <c r="AA81" s="24">
        <f t="shared" si="19"/>
        <v>2410.236</v>
      </c>
      <c r="AB81" s="24"/>
      <c r="AC81" s="24">
        <f t="shared" si="16"/>
        <v>915.5159999999998</v>
      </c>
      <c r="AD81" s="26">
        <f t="shared" si="20"/>
        <v>438.36</v>
      </c>
      <c r="AE81" s="8"/>
      <c r="AF81" s="8"/>
      <c r="AG81" s="26"/>
      <c r="AH81" s="24">
        <f t="shared" si="21"/>
        <v>2204.7119999999995</v>
      </c>
      <c r="AI81" s="24"/>
      <c r="AJ81" s="24">
        <f t="shared" si="30"/>
        <v>19505.641</v>
      </c>
    </row>
    <row r="82" spans="1:36" ht="15.75">
      <c r="A82" s="5" t="s">
        <v>67</v>
      </c>
      <c r="B82" s="5" t="s">
        <v>35</v>
      </c>
      <c r="C82" s="6"/>
      <c r="D82" s="21">
        <v>187.1</v>
      </c>
      <c r="E82" s="11">
        <f t="shared" si="22"/>
        <v>808.2719999999999</v>
      </c>
      <c r="F82" s="11">
        <f t="shared" si="23"/>
        <v>2671.7879999999996</v>
      </c>
      <c r="G82" s="11">
        <f t="shared" si="24"/>
        <v>2649.336</v>
      </c>
      <c r="H82" s="11">
        <f t="shared" si="25"/>
        <v>583.752</v>
      </c>
      <c r="I82" s="11">
        <f t="shared" si="26"/>
        <v>134.712</v>
      </c>
      <c r="J82" s="11">
        <f t="shared" si="27"/>
        <v>404.13599999999997</v>
      </c>
      <c r="K82" s="11">
        <f>4*230</f>
        <v>920</v>
      </c>
      <c r="L82" s="8">
        <f>144.73*8</f>
        <v>1157.84</v>
      </c>
      <c r="M82" s="8"/>
      <c r="N82" s="8"/>
      <c r="O82" s="16">
        <f t="shared" si="17"/>
        <v>514.525</v>
      </c>
      <c r="P82" s="24">
        <f t="shared" si="28"/>
        <v>9844.360999999999</v>
      </c>
      <c r="Q82" s="24"/>
      <c r="R82" s="26">
        <f t="shared" si="18"/>
        <v>6903.99</v>
      </c>
      <c r="S82" s="11"/>
      <c r="T82" s="11"/>
      <c r="U82" s="11"/>
      <c r="V82" s="11"/>
      <c r="W82" s="11"/>
      <c r="X82" s="11"/>
      <c r="Y82" s="11"/>
      <c r="Z82" s="24">
        <f t="shared" si="29"/>
        <v>0</v>
      </c>
      <c r="AA82" s="24">
        <f t="shared" si="19"/>
        <v>2896.308</v>
      </c>
      <c r="AB82" s="24"/>
      <c r="AC82" s="24">
        <f t="shared" si="16"/>
        <v>1100.1480000000001</v>
      </c>
      <c r="AD82" s="26">
        <f t="shared" si="20"/>
        <v>526.28</v>
      </c>
      <c r="AE82" s="8"/>
      <c r="AF82" s="8"/>
      <c r="AG82" s="26"/>
      <c r="AH82" s="24">
        <f t="shared" si="21"/>
        <v>2649.336</v>
      </c>
      <c r="AI82" s="24"/>
      <c r="AJ82" s="24">
        <f t="shared" si="30"/>
        <v>23920.423</v>
      </c>
    </row>
    <row r="83" spans="1:36" ht="15.75">
      <c r="A83" s="3" t="s">
        <v>67</v>
      </c>
      <c r="B83" s="4" t="s">
        <v>70</v>
      </c>
      <c r="C83" s="3" t="s">
        <v>2</v>
      </c>
      <c r="D83" s="21">
        <v>69.6</v>
      </c>
      <c r="E83" s="11">
        <f t="shared" si="22"/>
        <v>300.67199999999997</v>
      </c>
      <c r="F83" s="11">
        <f t="shared" si="23"/>
        <v>993.8879999999998</v>
      </c>
      <c r="G83" s="11">
        <f t="shared" si="24"/>
        <v>985.5359999999998</v>
      </c>
      <c r="H83" s="11">
        <f t="shared" si="25"/>
        <v>217.152</v>
      </c>
      <c r="I83" s="11">
        <f t="shared" si="26"/>
        <v>50.111999999999995</v>
      </c>
      <c r="J83" s="11">
        <f t="shared" si="27"/>
        <v>150.33599999999998</v>
      </c>
      <c r="K83" s="11">
        <f aca="true" t="shared" si="31" ref="K83:K89">2*230</f>
        <v>460</v>
      </c>
      <c r="L83" s="8"/>
      <c r="M83" s="8"/>
      <c r="N83" s="8"/>
      <c r="O83" s="16">
        <f t="shared" si="17"/>
        <v>191.4</v>
      </c>
      <c r="P83" s="24">
        <f t="shared" si="28"/>
        <v>3349.0959999999995</v>
      </c>
      <c r="Q83" s="24"/>
      <c r="R83" s="26">
        <f t="shared" si="18"/>
        <v>2568.24</v>
      </c>
      <c r="S83" s="11"/>
      <c r="T83" s="11"/>
      <c r="U83" s="11"/>
      <c r="V83" s="11"/>
      <c r="W83" s="11"/>
      <c r="X83" s="11"/>
      <c r="Y83" s="11"/>
      <c r="Z83" s="24">
        <f t="shared" si="29"/>
        <v>0</v>
      </c>
      <c r="AA83" s="24">
        <f t="shared" si="19"/>
        <v>1077.408</v>
      </c>
      <c r="AB83" s="24"/>
      <c r="AC83" s="24">
        <f t="shared" si="16"/>
        <v>409.248</v>
      </c>
      <c r="AD83" s="26">
        <f t="shared" si="20"/>
        <v>197.28</v>
      </c>
      <c r="AE83" s="8"/>
      <c r="AF83" s="8"/>
      <c r="AG83" s="26"/>
      <c r="AH83" s="24">
        <f t="shared" si="21"/>
        <v>985.5359999999998</v>
      </c>
      <c r="AI83" s="24"/>
      <c r="AJ83" s="24">
        <f t="shared" si="30"/>
        <v>8586.807999999997</v>
      </c>
    </row>
    <row r="84" spans="1:36" ht="15.75">
      <c r="A84" s="3" t="s">
        <v>67</v>
      </c>
      <c r="B84" s="4" t="s">
        <v>71</v>
      </c>
      <c r="C84" s="3" t="s">
        <v>2</v>
      </c>
      <c r="D84" s="21">
        <v>108.3</v>
      </c>
      <c r="E84" s="11">
        <f t="shared" si="22"/>
        <v>467.856</v>
      </c>
      <c r="F84" s="11">
        <f t="shared" si="23"/>
        <v>1546.524</v>
      </c>
      <c r="G84" s="11">
        <f t="shared" si="24"/>
        <v>1533.528</v>
      </c>
      <c r="H84" s="11">
        <f t="shared" si="25"/>
        <v>337.896</v>
      </c>
      <c r="I84" s="11">
        <f t="shared" si="26"/>
        <v>77.976</v>
      </c>
      <c r="J84" s="11">
        <f t="shared" si="27"/>
        <v>233.928</v>
      </c>
      <c r="K84" s="11">
        <f t="shared" si="31"/>
        <v>460</v>
      </c>
      <c r="L84" s="8"/>
      <c r="M84" s="8"/>
      <c r="N84" s="8"/>
      <c r="O84" s="16">
        <f t="shared" si="17"/>
        <v>297.82500000000005</v>
      </c>
      <c r="P84" s="24">
        <f t="shared" si="28"/>
        <v>4955.533</v>
      </c>
      <c r="Q84" s="24"/>
      <c r="R84" s="26">
        <f t="shared" si="18"/>
        <v>3996.2699999999995</v>
      </c>
      <c r="S84" s="11"/>
      <c r="T84" s="11"/>
      <c r="U84" s="11"/>
      <c r="V84" s="11"/>
      <c r="W84" s="11"/>
      <c r="X84" s="11"/>
      <c r="Y84" s="11"/>
      <c r="Z84" s="24">
        <f t="shared" si="29"/>
        <v>0</v>
      </c>
      <c r="AA84" s="24">
        <f t="shared" si="19"/>
        <v>1676.484</v>
      </c>
      <c r="AB84" s="24"/>
      <c r="AC84" s="24">
        <f t="shared" si="16"/>
        <v>636.804</v>
      </c>
      <c r="AD84" s="26">
        <f t="shared" si="20"/>
        <v>305.64</v>
      </c>
      <c r="AE84" s="8"/>
      <c r="AF84" s="8"/>
      <c r="AG84" s="26"/>
      <c r="AH84" s="24">
        <f t="shared" si="21"/>
        <v>1533.528</v>
      </c>
      <c r="AI84" s="24"/>
      <c r="AJ84" s="24">
        <f t="shared" si="30"/>
        <v>13104.259</v>
      </c>
    </row>
    <row r="85" spans="1:36" ht="15.75">
      <c r="A85" s="3" t="s">
        <v>67</v>
      </c>
      <c r="B85" s="4" t="s">
        <v>44</v>
      </c>
      <c r="C85" s="3" t="s">
        <v>2</v>
      </c>
      <c r="D85" s="18">
        <v>118</v>
      </c>
      <c r="E85" s="11">
        <f t="shared" si="22"/>
        <v>509.76</v>
      </c>
      <c r="F85" s="11">
        <f t="shared" si="23"/>
        <v>1685.04</v>
      </c>
      <c r="G85" s="11">
        <f t="shared" si="24"/>
        <v>1670.8799999999997</v>
      </c>
      <c r="H85" s="11">
        <f t="shared" si="25"/>
        <v>368.15999999999997</v>
      </c>
      <c r="I85" s="11">
        <f t="shared" si="26"/>
        <v>84.96000000000001</v>
      </c>
      <c r="J85" s="11">
        <f t="shared" si="27"/>
        <v>254.88</v>
      </c>
      <c r="K85" s="11">
        <f t="shared" si="31"/>
        <v>460</v>
      </c>
      <c r="L85" s="8">
        <f>144.73*6</f>
        <v>868.3799999999999</v>
      </c>
      <c r="M85" s="8"/>
      <c r="N85" s="8"/>
      <c r="O85" s="16">
        <f t="shared" si="17"/>
        <v>324.5</v>
      </c>
      <c r="P85" s="24">
        <f t="shared" si="28"/>
        <v>6226.56</v>
      </c>
      <c r="Q85" s="24"/>
      <c r="R85" s="26">
        <f t="shared" si="18"/>
        <v>4354.2</v>
      </c>
      <c r="S85" s="11"/>
      <c r="T85" s="11"/>
      <c r="U85" s="11"/>
      <c r="V85" s="11"/>
      <c r="W85" s="11"/>
      <c r="X85" s="11"/>
      <c r="Y85" s="11"/>
      <c r="Z85" s="24">
        <f t="shared" si="29"/>
        <v>0</v>
      </c>
      <c r="AA85" s="24">
        <f t="shared" si="19"/>
        <v>1826.6399999999999</v>
      </c>
      <c r="AB85" s="24"/>
      <c r="AC85" s="24">
        <f t="shared" si="16"/>
        <v>693.84</v>
      </c>
      <c r="AD85" s="26">
        <f t="shared" si="20"/>
        <v>332.8</v>
      </c>
      <c r="AE85" s="8"/>
      <c r="AF85" s="8"/>
      <c r="AG85" s="26"/>
      <c r="AH85" s="24">
        <f t="shared" si="21"/>
        <v>1670.8799999999997</v>
      </c>
      <c r="AI85" s="24"/>
      <c r="AJ85" s="24">
        <f t="shared" si="30"/>
        <v>15104.919999999998</v>
      </c>
    </row>
    <row r="86" spans="1:36" ht="15.75">
      <c r="A86" s="5" t="s">
        <v>67</v>
      </c>
      <c r="B86" s="5" t="s">
        <v>3</v>
      </c>
      <c r="C86" s="6"/>
      <c r="D86" s="18">
        <v>70</v>
      </c>
      <c r="E86" s="11">
        <f t="shared" si="22"/>
        <v>302.4</v>
      </c>
      <c r="F86" s="11">
        <f t="shared" si="23"/>
        <v>999.5999999999999</v>
      </c>
      <c r="G86" s="11">
        <f t="shared" si="24"/>
        <v>991.1999999999999</v>
      </c>
      <c r="H86" s="11">
        <f t="shared" si="25"/>
        <v>218.39999999999998</v>
      </c>
      <c r="I86" s="11">
        <f t="shared" si="26"/>
        <v>50.400000000000006</v>
      </c>
      <c r="J86" s="11">
        <f t="shared" si="27"/>
        <v>151.2</v>
      </c>
      <c r="K86" s="11">
        <f t="shared" si="31"/>
        <v>460</v>
      </c>
      <c r="L86" s="8">
        <f>144.73*6</f>
        <v>868.3799999999999</v>
      </c>
      <c r="M86" s="8"/>
      <c r="N86" s="8"/>
      <c r="O86" s="16">
        <f t="shared" si="17"/>
        <v>192.5</v>
      </c>
      <c r="P86" s="24">
        <f t="shared" si="28"/>
        <v>4234.08</v>
      </c>
      <c r="Q86" s="24"/>
      <c r="R86" s="26">
        <f t="shared" si="18"/>
        <v>2583</v>
      </c>
      <c r="S86" s="11"/>
      <c r="T86" s="11"/>
      <c r="U86" s="11"/>
      <c r="V86" s="11"/>
      <c r="W86" s="11"/>
      <c r="X86" s="11"/>
      <c r="Y86" s="11"/>
      <c r="Z86" s="24">
        <f t="shared" si="29"/>
        <v>0</v>
      </c>
      <c r="AA86" s="24">
        <f t="shared" si="19"/>
        <v>1083.6</v>
      </c>
      <c r="AB86" s="24"/>
      <c r="AC86" s="24">
        <f t="shared" si="16"/>
        <v>411.59999999999997</v>
      </c>
      <c r="AD86" s="26">
        <f t="shared" si="20"/>
        <v>198.4</v>
      </c>
      <c r="AE86" s="8"/>
      <c r="AF86" s="8"/>
      <c r="AG86" s="26"/>
      <c r="AH86" s="24">
        <f t="shared" si="21"/>
        <v>991.1999999999999</v>
      </c>
      <c r="AI86" s="24"/>
      <c r="AJ86" s="24">
        <f t="shared" si="30"/>
        <v>9501.880000000001</v>
      </c>
    </row>
    <row r="87" spans="1:36" s="44" customFormat="1" ht="15.75">
      <c r="A87" s="40" t="s">
        <v>67</v>
      </c>
      <c r="B87" s="40" t="s">
        <v>64</v>
      </c>
      <c r="C87" s="6"/>
      <c r="D87" s="21">
        <v>110.7</v>
      </c>
      <c r="E87" s="41">
        <f t="shared" si="22"/>
        <v>478.22399999999993</v>
      </c>
      <c r="F87" s="41">
        <f t="shared" si="23"/>
        <v>1580.796</v>
      </c>
      <c r="G87" s="41">
        <f t="shared" si="24"/>
        <v>1567.5120000000002</v>
      </c>
      <c r="H87" s="41">
        <f t="shared" si="25"/>
        <v>345.384</v>
      </c>
      <c r="I87" s="41">
        <f t="shared" si="26"/>
        <v>79.70400000000001</v>
      </c>
      <c r="J87" s="41">
        <f t="shared" si="27"/>
        <v>239.11199999999997</v>
      </c>
      <c r="K87" s="41">
        <f t="shared" si="31"/>
        <v>460</v>
      </c>
      <c r="L87" s="3">
        <f>144.73*7</f>
        <v>1013.1099999999999</v>
      </c>
      <c r="M87" s="3"/>
      <c r="N87" s="3"/>
      <c r="O87" s="41">
        <f t="shared" si="17"/>
        <v>304.425</v>
      </c>
      <c r="P87" s="42">
        <f t="shared" si="28"/>
        <v>6068.267</v>
      </c>
      <c r="Q87" s="42">
        <f>D87*1.27*5+D87*1.34*7</f>
        <v>1741.3110000000001</v>
      </c>
      <c r="R87" s="43">
        <f t="shared" si="18"/>
        <v>4084.8300000000004</v>
      </c>
      <c r="S87" s="41"/>
      <c r="T87" s="41"/>
      <c r="U87" s="41"/>
      <c r="V87" s="41"/>
      <c r="W87" s="41"/>
      <c r="X87" s="41"/>
      <c r="Y87" s="41"/>
      <c r="Z87" s="42">
        <f t="shared" si="29"/>
        <v>0</v>
      </c>
      <c r="AA87" s="42">
        <f t="shared" si="19"/>
        <v>1713.636</v>
      </c>
      <c r="AB87" s="42"/>
      <c r="AC87" s="42">
        <f t="shared" si="16"/>
        <v>650.916</v>
      </c>
      <c r="AD87" s="43">
        <f t="shared" si="20"/>
        <v>312.36</v>
      </c>
      <c r="AE87" s="3"/>
      <c r="AF87" s="3"/>
      <c r="AG87" s="43"/>
      <c r="AH87" s="42">
        <f t="shared" si="21"/>
        <v>1567.5120000000002</v>
      </c>
      <c r="AI87" s="42"/>
      <c r="AJ87" s="42">
        <f t="shared" si="30"/>
        <v>16138.832</v>
      </c>
    </row>
    <row r="88" spans="1:36" ht="15.75">
      <c r="A88" s="3" t="s">
        <v>67</v>
      </c>
      <c r="B88" s="4" t="s">
        <v>72</v>
      </c>
      <c r="C88" s="3" t="s">
        <v>2</v>
      </c>
      <c r="D88" s="18">
        <v>90.6</v>
      </c>
      <c r="E88" s="11">
        <f t="shared" si="22"/>
        <v>391.392</v>
      </c>
      <c r="F88" s="11">
        <f t="shared" si="23"/>
        <v>1293.768</v>
      </c>
      <c r="G88" s="11">
        <f t="shared" si="24"/>
        <v>1282.8959999999997</v>
      </c>
      <c r="H88" s="11">
        <f t="shared" si="25"/>
        <v>282.672</v>
      </c>
      <c r="I88" s="11">
        <f t="shared" si="26"/>
        <v>65.23199999999999</v>
      </c>
      <c r="J88" s="11">
        <f t="shared" si="27"/>
        <v>195.696</v>
      </c>
      <c r="K88" s="11">
        <f t="shared" si="31"/>
        <v>460</v>
      </c>
      <c r="L88" s="8">
        <f>144.73*6</f>
        <v>868.3799999999999</v>
      </c>
      <c r="M88" s="8"/>
      <c r="N88" s="8"/>
      <c r="O88" s="16">
        <f t="shared" si="17"/>
        <v>249.14999999999998</v>
      </c>
      <c r="P88" s="24">
        <f t="shared" si="28"/>
        <v>5089.185999999999</v>
      </c>
      <c r="Q88" s="24"/>
      <c r="R88" s="26">
        <f t="shared" si="18"/>
        <v>3343.1399999999994</v>
      </c>
      <c r="S88" s="11"/>
      <c r="T88" s="11"/>
      <c r="U88" s="11"/>
      <c r="V88" s="11"/>
      <c r="W88" s="11"/>
      <c r="X88" s="11"/>
      <c r="Y88" s="11"/>
      <c r="Z88" s="24">
        <f t="shared" si="29"/>
        <v>0</v>
      </c>
      <c r="AA88" s="24">
        <f t="shared" si="19"/>
        <v>1402.4879999999998</v>
      </c>
      <c r="AB88" s="24"/>
      <c r="AC88" s="24">
        <f t="shared" si="16"/>
        <v>532.728</v>
      </c>
      <c r="AD88" s="26">
        <f t="shared" si="20"/>
        <v>256.08</v>
      </c>
      <c r="AE88" s="8"/>
      <c r="AF88" s="8"/>
      <c r="AG88" s="26"/>
      <c r="AH88" s="24">
        <f t="shared" si="21"/>
        <v>1282.8959999999997</v>
      </c>
      <c r="AI88" s="24"/>
      <c r="AJ88" s="24">
        <f t="shared" si="30"/>
        <v>11906.517999999996</v>
      </c>
    </row>
    <row r="89" spans="1:36" ht="15.75">
      <c r="A89" s="5" t="s">
        <v>67</v>
      </c>
      <c r="B89" s="5" t="s">
        <v>66</v>
      </c>
      <c r="C89" s="6"/>
      <c r="D89" s="18">
        <v>94.7</v>
      </c>
      <c r="E89" s="11">
        <f t="shared" si="22"/>
        <v>409.104</v>
      </c>
      <c r="F89" s="11">
        <f t="shared" si="23"/>
        <v>1352.316</v>
      </c>
      <c r="G89" s="11">
        <f t="shared" si="24"/>
        <v>1340.952</v>
      </c>
      <c r="H89" s="11">
        <f t="shared" si="25"/>
        <v>295.464</v>
      </c>
      <c r="I89" s="11">
        <f t="shared" si="26"/>
        <v>68.184</v>
      </c>
      <c r="J89" s="11">
        <f t="shared" si="27"/>
        <v>204.552</v>
      </c>
      <c r="K89" s="11">
        <f t="shared" si="31"/>
        <v>460</v>
      </c>
      <c r="L89" s="8"/>
      <c r="M89" s="8"/>
      <c r="N89" s="8"/>
      <c r="O89" s="16">
        <f t="shared" si="17"/>
        <v>260.42500000000007</v>
      </c>
      <c r="P89" s="24">
        <f t="shared" si="28"/>
        <v>4390.997</v>
      </c>
      <c r="Q89" s="24"/>
      <c r="R89" s="26">
        <f t="shared" si="18"/>
        <v>3494.4300000000003</v>
      </c>
      <c r="S89" s="11"/>
      <c r="T89" s="11"/>
      <c r="U89" s="11"/>
      <c r="V89" s="11"/>
      <c r="W89" s="11"/>
      <c r="X89" s="11"/>
      <c r="Y89" s="11"/>
      <c r="Z89" s="24">
        <f t="shared" si="29"/>
        <v>0</v>
      </c>
      <c r="AA89" s="24">
        <f t="shared" si="19"/>
        <v>1465.9560000000001</v>
      </c>
      <c r="AB89" s="24"/>
      <c r="AC89" s="24">
        <f t="shared" si="16"/>
        <v>556.836</v>
      </c>
      <c r="AD89" s="26">
        <f t="shared" si="20"/>
        <v>267.56</v>
      </c>
      <c r="AE89" s="8"/>
      <c r="AF89" s="8"/>
      <c r="AG89" s="26"/>
      <c r="AH89" s="24">
        <f t="shared" si="21"/>
        <v>1340.952</v>
      </c>
      <c r="AI89" s="24">
        <v>57500</v>
      </c>
      <c r="AJ89" s="24">
        <f t="shared" si="30"/>
        <v>69016.731</v>
      </c>
    </row>
    <row r="90" spans="1:36" ht="15.75">
      <c r="A90" s="3" t="s">
        <v>73</v>
      </c>
      <c r="B90" s="4" t="s">
        <v>34</v>
      </c>
      <c r="C90" s="3" t="s">
        <v>2</v>
      </c>
      <c r="D90" s="18">
        <v>607.3</v>
      </c>
      <c r="E90" s="11">
        <f t="shared" si="22"/>
        <v>2623.536</v>
      </c>
      <c r="F90" s="11">
        <f t="shared" si="23"/>
        <v>8672.243999999999</v>
      </c>
      <c r="G90" s="11">
        <f t="shared" si="24"/>
        <v>8599.367999999999</v>
      </c>
      <c r="H90" s="11">
        <f t="shared" si="25"/>
        <v>1894.7759999999998</v>
      </c>
      <c r="I90" s="11">
        <f t="shared" si="26"/>
        <v>437.256</v>
      </c>
      <c r="J90" s="11">
        <f t="shared" si="27"/>
        <v>1311.768</v>
      </c>
      <c r="K90" s="11">
        <f>12*8*4+12*6*2</f>
        <v>528</v>
      </c>
      <c r="L90" s="8"/>
      <c r="M90" s="8"/>
      <c r="N90" s="8">
        <f>667*20.77</f>
        <v>13853.59</v>
      </c>
      <c r="O90" s="16">
        <f t="shared" si="17"/>
        <v>1670.0749999999998</v>
      </c>
      <c r="P90" s="24">
        <f t="shared" si="28"/>
        <v>39590.613</v>
      </c>
      <c r="Q90" s="24"/>
      <c r="R90" s="26">
        <f t="shared" si="18"/>
        <v>22409.37</v>
      </c>
      <c r="S90" s="11">
        <v>6322</v>
      </c>
      <c r="T90" s="11"/>
      <c r="U90" s="11">
        <v>5660</v>
      </c>
      <c r="V90" s="11">
        <v>68690</v>
      </c>
      <c r="W90" s="11"/>
      <c r="X90" s="11"/>
      <c r="Y90" s="11"/>
      <c r="Z90" s="24">
        <f t="shared" si="29"/>
        <v>80672</v>
      </c>
      <c r="AA90" s="24">
        <f t="shared" si="19"/>
        <v>9401.003999999999</v>
      </c>
      <c r="AB90" s="24"/>
      <c r="AC90" s="24">
        <f t="shared" si="16"/>
        <v>3570.924</v>
      </c>
      <c r="AD90" s="26">
        <f t="shared" si="20"/>
        <v>1702.84</v>
      </c>
      <c r="AE90" s="8"/>
      <c r="AF90" s="8"/>
      <c r="AG90" s="26"/>
      <c r="AH90" s="24">
        <f t="shared" si="21"/>
        <v>8599.367999999999</v>
      </c>
      <c r="AI90" s="24">
        <v>57500</v>
      </c>
      <c r="AJ90" s="24">
        <f t="shared" si="30"/>
        <v>223446.11899999998</v>
      </c>
    </row>
    <row r="91" spans="1:36" ht="15.75">
      <c r="A91" s="3" t="s">
        <v>73</v>
      </c>
      <c r="B91" s="4" t="s">
        <v>74</v>
      </c>
      <c r="C91" s="3" t="s">
        <v>2</v>
      </c>
      <c r="D91" s="18">
        <v>449.3</v>
      </c>
      <c r="E91" s="11">
        <f t="shared" si="22"/>
        <v>1940.9759999999999</v>
      </c>
      <c r="F91" s="11">
        <f t="shared" si="23"/>
        <v>6416.004000000001</v>
      </c>
      <c r="G91" s="11">
        <f t="shared" si="24"/>
        <v>6362.088</v>
      </c>
      <c r="H91" s="11">
        <f t="shared" si="25"/>
        <v>1401.8160000000003</v>
      </c>
      <c r="I91" s="11">
        <f t="shared" si="26"/>
        <v>323.496</v>
      </c>
      <c r="J91" s="11">
        <f t="shared" si="27"/>
        <v>970.4879999999999</v>
      </c>
      <c r="K91" s="11">
        <f>12*6*2</f>
        <v>144</v>
      </c>
      <c r="L91" s="8"/>
      <c r="M91" s="8"/>
      <c r="N91" s="8"/>
      <c r="O91" s="16">
        <f t="shared" si="17"/>
        <v>1235.5750000000003</v>
      </c>
      <c r="P91" s="24">
        <f t="shared" si="28"/>
        <v>18794.443000000003</v>
      </c>
      <c r="Q91" s="24"/>
      <c r="R91" s="26">
        <f t="shared" si="18"/>
        <v>16579.170000000002</v>
      </c>
      <c r="S91" s="11">
        <v>17600</v>
      </c>
      <c r="T91" s="11"/>
      <c r="U91" s="11"/>
      <c r="V91" s="11"/>
      <c r="W91" s="11"/>
      <c r="X91" s="11"/>
      <c r="Y91" s="11">
        <v>58640</v>
      </c>
      <c r="Z91" s="24">
        <f>SUM(S91:Y91)</f>
        <v>76240</v>
      </c>
      <c r="AA91" s="24">
        <f t="shared" si="19"/>
        <v>6955.164</v>
      </c>
      <c r="AB91" s="24"/>
      <c r="AC91" s="24">
        <f t="shared" si="16"/>
        <v>2641.884</v>
      </c>
      <c r="AD91" s="26">
        <f t="shared" si="20"/>
        <v>1260.4400000000003</v>
      </c>
      <c r="AE91" s="8"/>
      <c r="AF91" s="8"/>
      <c r="AG91" s="26"/>
      <c r="AH91" s="24">
        <f t="shared" si="21"/>
        <v>6362.088</v>
      </c>
      <c r="AI91" s="24"/>
      <c r="AJ91" s="24">
        <f t="shared" si="30"/>
        <v>128833.18900000003</v>
      </c>
    </row>
    <row r="92" spans="1:36" ht="15.75">
      <c r="A92" s="3" t="s">
        <v>73</v>
      </c>
      <c r="B92" s="4" t="s">
        <v>41</v>
      </c>
      <c r="C92" s="3" t="s">
        <v>2</v>
      </c>
      <c r="D92" s="21">
        <v>286.4</v>
      </c>
      <c r="E92" s="11">
        <f t="shared" si="22"/>
        <v>1237.2479999999998</v>
      </c>
      <c r="F92" s="11">
        <f t="shared" si="23"/>
        <v>4089.7919999999995</v>
      </c>
      <c r="G92" s="11">
        <f t="shared" si="24"/>
        <v>4055.423999999999</v>
      </c>
      <c r="H92" s="11">
        <f t="shared" si="25"/>
        <v>893.568</v>
      </c>
      <c r="I92" s="11">
        <f t="shared" si="26"/>
        <v>206.20799999999997</v>
      </c>
      <c r="J92" s="11">
        <f t="shared" si="27"/>
        <v>618.6239999999999</v>
      </c>
      <c r="K92" s="11">
        <f>8*6*2</f>
        <v>96</v>
      </c>
      <c r="L92" s="8">
        <f>144.73*12</f>
        <v>1736.7599999999998</v>
      </c>
      <c r="M92" s="8"/>
      <c r="N92" s="8"/>
      <c r="O92" s="16">
        <f t="shared" si="17"/>
        <v>787.6</v>
      </c>
      <c r="P92" s="24">
        <f t="shared" si="28"/>
        <v>13721.223999999998</v>
      </c>
      <c r="Q92" s="24"/>
      <c r="R92" s="26">
        <f t="shared" si="18"/>
        <v>10568.16</v>
      </c>
      <c r="S92" s="11">
        <v>17068</v>
      </c>
      <c r="T92" s="11"/>
      <c r="U92" s="11"/>
      <c r="V92" s="11"/>
      <c r="W92" s="11"/>
      <c r="X92" s="11"/>
      <c r="Y92" s="11"/>
      <c r="Z92" s="24">
        <f t="shared" si="29"/>
        <v>17068</v>
      </c>
      <c r="AA92" s="24">
        <f t="shared" si="19"/>
        <v>4433.472</v>
      </c>
      <c r="AB92" s="24"/>
      <c r="AC92" s="24">
        <f t="shared" si="16"/>
        <v>1684.0319999999997</v>
      </c>
      <c r="AD92" s="26">
        <f t="shared" si="20"/>
        <v>804.32</v>
      </c>
      <c r="AE92" s="8"/>
      <c r="AF92" s="8"/>
      <c r="AG92" s="26"/>
      <c r="AH92" s="24">
        <f t="shared" si="21"/>
        <v>4055.423999999999</v>
      </c>
      <c r="AI92" s="24"/>
      <c r="AJ92" s="24">
        <f t="shared" si="30"/>
        <v>52334.632</v>
      </c>
    </row>
    <row r="93" spans="1:36" ht="15.75">
      <c r="A93" s="3" t="s">
        <v>73</v>
      </c>
      <c r="B93" s="4" t="s">
        <v>42</v>
      </c>
      <c r="C93" s="3" t="s">
        <v>2</v>
      </c>
      <c r="D93" s="18">
        <v>630.6</v>
      </c>
      <c r="E93" s="11">
        <f t="shared" si="22"/>
        <v>2724.192</v>
      </c>
      <c r="F93" s="11">
        <f t="shared" si="23"/>
        <v>9004.968</v>
      </c>
      <c r="G93" s="11">
        <f t="shared" si="24"/>
        <v>8929.295999999998</v>
      </c>
      <c r="H93" s="11">
        <f t="shared" si="25"/>
        <v>1967.4720000000002</v>
      </c>
      <c r="I93" s="11">
        <f t="shared" si="26"/>
        <v>454.032</v>
      </c>
      <c r="J93" s="11">
        <f t="shared" si="27"/>
        <v>1362.096</v>
      </c>
      <c r="K93" s="11">
        <f>16*6*2</f>
        <v>192</v>
      </c>
      <c r="L93" s="8"/>
      <c r="M93" s="8"/>
      <c r="N93" s="8">
        <f>560*20.77</f>
        <v>11631.199999999999</v>
      </c>
      <c r="O93" s="16">
        <f t="shared" si="17"/>
        <v>1734.15</v>
      </c>
      <c r="P93" s="24">
        <f t="shared" si="28"/>
        <v>37999.406</v>
      </c>
      <c r="Q93" s="24"/>
      <c r="R93" s="26">
        <f t="shared" si="18"/>
        <v>23269.140000000003</v>
      </c>
      <c r="S93" s="11"/>
      <c r="T93" s="11"/>
      <c r="U93" s="11"/>
      <c r="V93" s="11">
        <v>47700</v>
      </c>
      <c r="W93" s="11"/>
      <c r="X93" s="11"/>
      <c r="Y93" s="11"/>
      <c r="Z93" s="24">
        <f t="shared" si="29"/>
        <v>47700</v>
      </c>
      <c r="AA93" s="24">
        <f t="shared" si="19"/>
        <v>9761.688</v>
      </c>
      <c r="AB93" s="24"/>
      <c r="AC93" s="24">
        <f t="shared" si="16"/>
        <v>3707.9280000000003</v>
      </c>
      <c r="AD93" s="26">
        <f t="shared" si="20"/>
        <v>1768.0800000000002</v>
      </c>
      <c r="AE93" s="8"/>
      <c r="AF93" s="8"/>
      <c r="AG93" s="26"/>
      <c r="AH93" s="24">
        <f t="shared" si="21"/>
        <v>8929.295999999998</v>
      </c>
      <c r="AI93" s="24"/>
      <c r="AJ93" s="24">
        <f t="shared" si="30"/>
        <v>133135.538</v>
      </c>
    </row>
    <row r="94" spans="1:36" ht="15.75">
      <c r="A94" s="3" t="s">
        <v>73</v>
      </c>
      <c r="B94" s="4" t="s">
        <v>14</v>
      </c>
      <c r="C94" s="3" t="s">
        <v>2</v>
      </c>
      <c r="D94" s="18">
        <v>594.6</v>
      </c>
      <c r="E94" s="11">
        <f t="shared" si="22"/>
        <v>2568.672</v>
      </c>
      <c r="F94" s="11">
        <f t="shared" si="23"/>
        <v>8490.887999999999</v>
      </c>
      <c r="G94" s="11">
        <f t="shared" si="24"/>
        <v>8419.536</v>
      </c>
      <c r="H94" s="11">
        <f t="shared" si="25"/>
        <v>1855.152</v>
      </c>
      <c r="I94" s="11">
        <f t="shared" si="26"/>
        <v>428.112</v>
      </c>
      <c r="J94" s="11">
        <f t="shared" si="27"/>
        <v>1284.336</v>
      </c>
      <c r="K94" s="11">
        <f>10*6*2</f>
        <v>120</v>
      </c>
      <c r="L94" s="8"/>
      <c r="M94" s="8"/>
      <c r="N94" s="8">
        <f>393*20.77</f>
        <v>8162.61</v>
      </c>
      <c r="O94" s="16">
        <f t="shared" si="17"/>
        <v>1635.15</v>
      </c>
      <c r="P94" s="24">
        <f t="shared" si="28"/>
        <v>32964.456</v>
      </c>
      <c r="Q94" s="24"/>
      <c r="R94" s="26">
        <f t="shared" si="18"/>
        <v>21940.740000000005</v>
      </c>
      <c r="S94" s="11"/>
      <c r="T94" s="11"/>
      <c r="U94" s="11"/>
      <c r="V94" s="11">
        <v>32120</v>
      </c>
      <c r="W94" s="11"/>
      <c r="X94" s="11"/>
      <c r="Y94" s="11"/>
      <c r="Z94" s="24">
        <f t="shared" si="29"/>
        <v>32120</v>
      </c>
      <c r="AA94" s="24">
        <f t="shared" si="19"/>
        <v>9204.408000000001</v>
      </c>
      <c r="AB94" s="24"/>
      <c r="AC94" s="24">
        <f t="shared" si="16"/>
        <v>3496.2479999999996</v>
      </c>
      <c r="AD94" s="26">
        <f t="shared" si="20"/>
        <v>1667.2800000000002</v>
      </c>
      <c r="AE94" s="8"/>
      <c r="AF94" s="8"/>
      <c r="AG94" s="26"/>
      <c r="AH94" s="24">
        <f t="shared" si="21"/>
        <v>8419.536</v>
      </c>
      <c r="AI94" s="24"/>
      <c r="AJ94" s="24">
        <f t="shared" si="30"/>
        <v>109812.66799999998</v>
      </c>
    </row>
    <row r="95" spans="1:36" ht="15.75">
      <c r="A95" s="3" t="s">
        <v>73</v>
      </c>
      <c r="B95" s="4" t="s">
        <v>75</v>
      </c>
      <c r="C95" s="3" t="s">
        <v>2</v>
      </c>
      <c r="D95" s="18">
        <v>276.8</v>
      </c>
      <c r="E95" s="11">
        <f t="shared" si="22"/>
        <v>1195.7759999999998</v>
      </c>
      <c r="F95" s="11">
        <f t="shared" si="23"/>
        <v>3952.7039999999997</v>
      </c>
      <c r="G95" s="11">
        <f t="shared" si="24"/>
        <v>3919.4880000000003</v>
      </c>
      <c r="H95" s="11">
        <f t="shared" si="25"/>
        <v>863.616</v>
      </c>
      <c r="I95" s="11">
        <f t="shared" si="26"/>
        <v>199.296</v>
      </c>
      <c r="J95" s="11">
        <f t="shared" si="27"/>
        <v>597.8879999999999</v>
      </c>
      <c r="K95" s="11">
        <f>8*6*2</f>
        <v>96</v>
      </c>
      <c r="L95" s="8">
        <f>144.73*12</f>
        <v>1736.7599999999998</v>
      </c>
      <c r="M95" s="8"/>
      <c r="N95" s="8">
        <f>257*20.77</f>
        <v>5337.89</v>
      </c>
      <c r="O95" s="16">
        <f t="shared" si="17"/>
        <v>761.2</v>
      </c>
      <c r="P95" s="24">
        <f t="shared" si="28"/>
        <v>18660.618000000002</v>
      </c>
      <c r="Q95" s="24"/>
      <c r="R95" s="26">
        <f t="shared" si="18"/>
        <v>10213.920000000002</v>
      </c>
      <c r="S95" s="11"/>
      <c r="T95" s="11"/>
      <c r="U95" s="11"/>
      <c r="V95" s="11">
        <v>20670</v>
      </c>
      <c r="W95" s="11"/>
      <c r="X95" s="11"/>
      <c r="Y95" s="11"/>
      <c r="Z95" s="24">
        <f t="shared" si="29"/>
        <v>20670</v>
      </c>
      <c r="AA95" s="24">
        <f t="shared" si="19"/>
        <v>4284.864</v>
      </c>
      <c r="AB95" s="24"/>
      <c r="AC95" s="24">
        <f aca="true" t="shared" si="32" ref="AC95:AC158">D95*0.49*12</f>
        <v>1627.584</v>
      </c>
      <c r="AD95" s="26">
        <f t="shared" si="20"/>
        <v>777.44</v>
      </c>
      <c r="AE95" s="8"/>
      <c r="AF95" s="8"/>
      <c r="AG95" s="26"/>
      <c r="AH95" s="24">
        <f t="shared" si="21"/>
        <v>3919.4880000000003</v>
      </c>
      <c r="AI95" s="24"/>
      <c r="AJ95" s="24">
        <f t="shared" si="30"/>
        <v>60153.914000000004</v>
      </c>
    </row>
    <row r="96" spans="1:36" ht="15.75">
      <c r="A96" s="3" t="s">
        <v>73</v>
      </c>
      <c r="B96" s="4" t="s">
        <v>66</v>
      </c>
      <c r="C96" s="3" t="s">
        <v>2</v>
      </c>
      <c r="D96" s="21">
        <v>375</v>
      </c>
      <c r="E96" s="11">
        <f t="shared" si="22"/>
        <v>1620</v>
      </c>
      <c r="F96" s="11">
        <f t="shared" si="23"/>
        <v>5355</v>
      </c>
      <c r="G96" s="11">
        <f t="shared" si="24"/>
        <v>5310</v>
      </c>
      <c r="H96" s="11">
        <f t="shared" si="25"/>
        <v>1170</v>
      </c>
      <c r="I96" s="11">
        <f t="shared" si="26"/>
        <v>270</v>
      </c>
      <c r="J96" s="11">
        <f t="shared" si="27"/>
        <v>810</v>
      </c>
      <c r="K96" s="11">
        <f>8*8*4+8*6*2</f>
        <v>352</v>
      </c>
      <c r="L96" s="8"/>
      <c r="M96" s="8"/>
      <c r="N96" s="8"/>
      <c r="O96" s="16">
        <f t="shared" si="17"/>
        <v>1031.2500000000002</v>
      </c>
      <c r="P96" s="24">
        <f t="shared" si="28"/>
        <v>15918.25</v>
      </c>
      <c r="Q96" s="24"/>
      <c r="R96" s="26">
        <f t="shared" si="18"/>
        <v>13837.5</v>
      </c>
      <c r="S96" s="11"/>
      <c r="T96" s="11"/>
      <c r="U96" s="11"/>
      <c r="V96" s="11"/>
      <c r="W96" s="11"/>
      <c r="X96" s="11"/>
      <c r="Y96" s="11"/>
      <c r="Z96" s="24">
        <f t="shared" si="29"/>
        <v>0</v>
      </c>
      <c r="AA96" s="24">
        <f t="shared" si="19"/>
        <v>5805</v>
      </c>
      <c r="AB96" s="24"/>
      <c r="AC96" s="24">
        <f t="shared" si="32"/>
        <v>2205</v>
      </c>
      <c r="AD96" s="26">
        <f t="shared" si="20"/>
        <v>1052.4</v>
      </c>
      <c r="AE96" s="8"/>
      <c r="AF96" s="8"/>
      <c r="AG96" s="26"/>
      <c r="AH96" s="24">
        <f t="shared" si="21"/>
        <v>5310</v>
      </c>
      <c r="AI96" s="24"/>
      <c r="AJ96" s="24">
        <f t="shared" si="30"/>
        <v>44128.15</v>
      </c>
    </row>
    <row r="97" spans="1:36" ht="15.75">
      <c r="A97" s="5" t="s">
        <v>76</v>
      </c>
      <c r="B97" s="5" t="s">
        <v>6</v>
      </c>
      <c r="C97" s="6"/>
      <c r="D97" s="21">
        <v>235.3</v>
      </c>
      <c r="E97" s="11">
        <f t="shared" si="22"/>
        <v>1016.496</v>
      </c>
      <c r="F97" s="11">
        <f t="shared" si="23"/>
        <v>3360.084</v>
      </c>
      <c r="G97" s="11">
        <f t="shared" si="24"/>
        <v>3331.848</v>
      </c>
      <c r="H97" s="11">
        <f t="shared" si="25"/>
        <v>734.1360000000001</v>
      </c>
      <c r="I97" s="11">
        <f t="shared" si="26"/>
        <v>169.416</v>
      </c>
      <c r="J97" s="11">
        <f t="shared" si="27"/>
        <v>508.248</v>
      </c>
      <c r="K97" s="11">
        <f>3*230</f>
        <v>690</v>
      </c>
      <c r="L97" s="8"/>
      <c r="M97" s="8"/>
      <c r="N97" s="8"/>
      <c r="O97" s="16">
        <f t="shared" si="17"/>
        <v>647.075</v>
      </c>
      <c r="P97" s="24">
        <f t="shared" si="28"/>
        <v>10457.303</v>
      </c>
      <c r="Q97" s="24"/>
      <c r="R97" s="26">
        <f t="shared" si="18"/>
        <v>8682.570000000002</v>
      </c>
      <c r="S97" s="11">
        <v>114400</v>
      </c>
      <c r="T97" s="11"/>
      <c r="U97" s="11"/>
      <c r="V97" s="11"/>
      <c r="W97" s="11"/>
      <c r="X97" s="11"/>
      <c r="Y97" s="11"/>
      <c r="Z97" s="24">
        <f t="shared" si="29"/>
        <v>114400</v>
      </c>
      <c r="AA97" s="24">
        <f t="shared" si="19"/>
        <v>3642.4440000000004</v>
      </c>
      <c r="AB97" s="24"/>
      <c r="AC97" s="24">
        <f t="shared" si="32"/>
        <v>1383.5639999999999</v>
      </c>
      <c r="AD97" s="26">
        <f t="shared" si="20"/>
        <v>661.24</v>
      </c>
      <c r="AE97" s="8"/>
      <c r="AF97" s="8"/>
      <c r="AG97" s="26"/>
      <c r="AH97" s="24">
        <f t="shared" si="21"/>
        <v>3331.848</v>
      </c>
      <c r="AI97" s="24"/>
      <c r="AJ97" s="24">
        <f t="shared" si="30"/>
        <v>142558.96899999998</v>
      </c>
    </row>
    <row r="98" spans="1:36" ht="15.75">
      <c r="A98" s="5" t="s">
        <v>76</v>
      </c>
      <c r="B98" s="5" t="s">
        <v>77</v>
      </c>
      <c r="C98" s="6"/>
      <c r="D98" s="18">
        <v>88.5</v>
      </c>
      <c r="E98" s="11">
        <f t="shared" si="22"/>
        <v>382.32</v>
      </c>
      <c r="F98" s="11">
        <f t="shared" si="23"/>
        <v>1263.78</v>
      </c>
      <c r="G98" s="11">
        <f t="shared" si="24"/>
        <v>1253.1599999999999</v>
      </c>
      <c r="H98" s="11">
        <f t="shared" si="25"/>
        <v>276.12</v>
      </c>
      <c r="I98" s="11">
        <f t="shared" si="26"/>
        <v>63.72</v>
      </c>
      <c r="J98" s="11">
        <f t="shared" si="27"/>
        <v>191.16</v>
      </c>
      <c r="K98" s="11">
        <f>2*230</f>
        <v>460</v>
      </c>
      <c r="L98" s="8">
        <f>144.73*8</f>
        <v>1157.84</v>
      </c>
      <c r="M98" s="8"/>
      <c r="N98" s="8"/>
      <c r="O98" s="16">
        <f t="shared" si="17"/>
        <v>243.37500000000003</v>
      </c>
      <c r="P98" s="24">
        <f t="shared" si="28"/>
        <v>5291.474999999999</v>
      </c>
      <c r="Q98" s="24"/>
      <c r="R98" s="26">
        <f t="shared" si="18"/>
        <v>3265.65</v>
      </c>
      <c r="S98" s="11"/>
      <c r="T98" s="11"/>
      <c r="U98" s="11"/>
      <c r="V98" s="11"/>
      <c r="W98" s="11"/>
      <c r="X98" s="11"/>
      <c r="Y98" s="11"/>
      <c r="Z98" s="24">
        <f t="shared" si="29"/>
        <v>0</v>
      </c>
      <c r="AA98" s="24">
        <f t="shared" si="19"/>
        <v>1369.98</v>
      </c>
      <c r="AB98" s="24"/>
      <c r="AC98" s="24">
        <f t="shared" si="32"/>
        <v>520.38</v>
      </c>
      <c r="AD98" s="26">
        <f t="shared" si="20"/>
        <v>250.2</v>
      </c>
      <c r="AE98" s="8"/>
      <c r="AF98" s="8"/>
      <c r="AG98" s="26"/>
      <c r="AH98" s="24">
        <f t="shared" si="21"/>
        <v>1253.1599999999999</v>
      </c>
      <c r="AI98" s="24"/>
      <c r="AJ98" s="24">
        <f t="shared" si="30"/>
        <v>11950.845</v>
      </c>
    </row>
    <row r="99" spans="1:36" ht="15.75">
      <c r="A99" s="3" t="s">
        <v>78</v>
      </c>
      <c r="B99" s="4" t="s">
        <v>79</v>
      </c>
      <c r="C99" s="3" t="s">
        <v>2</v>
      </c>
      <c r="D99" s="21">
        <v>284.6</v>
      </c>
      <c r="E99" s="11">
        <f t="shared" si="22"/>
        <v>1229.472</v>
      </c>
      <c r="F99" s="11">
        <f t="shared" si="23"/>
        <v>4064.0880000000006</v>
      </c>
      <c r="G99" s="11">
        <f t="shared" si="24"/>
        <v>4029.9360000000006</v>
      </c>
      <c r="H99" s="11">
        <f t="shared" si="25"/>
        <v>887.9520000000001</v>
      </c>
      <c r="I99" s="11">
        <f t="shared" si="26"/>
        <v>204.912</v>
      </c>
      <c r="J99" s="11">
        <f t="shared" si="27"/>
        <v>614.736</v>
      </c>
      <c r="K99" s="11">
        <f>5*230</f>
        <v>1150</v>
      </c>
      <c r="L99" s="8"/>
      <c r="M99" s="8"/>
      <c r="N99" s="8"/>
      <c r="O99" s="16">
        <f t="shared" si="17"/>
        <v>782.6500000000001</v>
      </c>
      <c r="P99" s="24">
        <f t="shared" si="28"/>
        <v>12963.746000000001</v>
      </c>
      <c r="Q99" s="24"/>
      <c r="R99" s="26">
        <f t="shared" si="18"/>
        <v>10501.740000000002</v>
      </c>
      <c r="S99" s="11"/>
      <c r="T99" s="11"/>
      <c r="U99" s="11"/>
      <c r="V99" s="11"/>
      <c r="W99" s="11"/>
      <c r="X99" s="11"/>
      <c r="Y99" s="11"/>
      <c r="Z99" s="24">
        <f t="shared" si="29"/>
        <v>0</v>
      </c>
      <c r="AA99" s="24">
        <f t="shared" si="19"/>
        <v>4405.608</v>
      </c>
      <c r="AB99" s="24"/>
      <c r="AC99" s="24">
        <f t="shared" si="32"/>
        <v>1673.448</v>
      </c>
      <c r="AD99" s="26">
        <f t="shared" si="20"/>
        <v>799.2800000000001</v>
      </c>
      <c r="AE99" s="8"/>
      <c r="AF99" s="8"/>
      <c r="AG99" s="26"/>
      <c r="AH99" s="24">
        <f t="shared" si="21"/>
        <v>4029.9360000000006</v>
      </c>
      <c r="AI99" s="24"/>
      <c r="AJ99" s="24">
        <f t="shared" si="30"/>
        <v>34373.758</v>
      </c>
    </row>
    <row r="100" spans="1:36" ht="15.75">
      <c r="A100" s="3" t="s">
        <v>78</v>
      </c>
      <c r="B100" s="4" t="s">
        <v>80</v>
      </c>
      <c r="C100" s="3" t="s">
        <v>2</v>
      </c>
      <c r="D100" s="21">
        <v>117.9</v>
      </c>
      <c r="E100" s="11">
        <f t="shared" si="22"/>
        <v>509.32800000000003</v>
      </c>
      <c r="F100" s="11">
        <f t="shared" si="23"/>
        <v>1683.6119999999999</v>
      </c>
      <c r="G100" s="11">
        <f t="shared" si="24"/>
        <v>1669.464</v>
      </c>
      <c r="H100" s="11">
        <f t="shared" si="25"/>
        <v>367.84800000000007</v>
      </c>
      <c r="I100" s="11">
        <f t="shared" si="26"/>
        <v>84.888</v>
      </c>
      <c r="J100" s="11">
        <f t="shared" si="27"/>
        <v>254.66400000000002</v>
      </c>
      <c r="K100" s="11">
        <f>3*230</f>
        <v>690</v>
      </c>
      <c r="L100" s="8"/>
      <c r="M100" s="8"/>
      <c r="N100" s="8"/>
      <c r="O100" s="16">
        <f t="shared" si="17"/>
        <v>324.2250000000001</v>
      </c>
      <c r="P100" s="24">
        <f t="shared" si="28"/>
        <v>5584.029</v>
      </c>
      <c r="Q100" s="24"/>
      <c r="R100" s="26">
        <f t="shared" si="18"/>
        <v>4350.51</v>
      </c>
      <c r="S100" s="11"/>
      <c r="T100" s="11"/>
      <c r="U100" s="11"/>
      <c r="V100" s="11"/>
      <c r="W100" s="11"/>
      <c r="X100" s="11"/>
      <c r="Y100" s="11"/>
      <c r="Z100" s="24">
        <f t="shared" si="29"/>
        <v>0</v>
      </c>
      <c r="AA100" s="24">
        <f t="shared" si="19"/>
        <v>1825.092</v>
      </c>
      <c r="AB100" s="24"/>
      <c r="AC100" s="24">
        <f t="shared" si="32"/>
        <v>693.252</v>
      </c>
      <c r="AD100" s="26">
        <f t="shared" si="20"/>
        <v>332.52</v>
      </c>
      <c r="AE100" s="8"/>
      <c r="AF100" s="8"/>
      <c r="AG100" s="26"/>
      <c r="AH100" s="24">
        <f t="shared" si="21"/>
        <v>1669.464</v>
      </c>
      <c r="AI100" s="24"/>
      <c r="AJ100" s="24">
        <f t="shared" si="30"/>
        <v>14454.867000000002</v>
      </c>
    </row>
    <row r="101" spans="1:36" ht="15.75">
      <c r="A101" s="5" t="s">
        <v>78</v>
      </c>
      <c r="B101" s="5" t="s">
        <v>16</v>
      </c>
      <c r="C101" s="6"/>
      <c r="D101" s="21">
        <v>205.3</v>
      </c>
      <c r="E101" s="11">
        <f t="shared" si="22"/>
        <v>886.896</v>
      </c>
      <c r="F101" s="11">
        <f t="shared" si="23"/>
        <v>2931.684</v>
      </c>
      <c r="G101" s="11">
        <f t="shared" si="24"/>
        <v>2907.048</v>
      </c>
      <c r="H101" s="11">
        <f t="shared" si="25"/>
        <v>640.5360000000001</v>
      </c>
      <c r="I101" s="11">
        <f t="shared" si="26"/>
        <v>147.816</v>
      </c>
      <c r="J101" s="11">
        <f t="shared" si="27"/>
        <v>443.448</v>
      </c>
      <c r="K101" s="11">
        <f>2*230</f>
        <v>460</v>
      </c>
      <c r="L101" s="8"/>
      <c r="M101" s="8"/>
      <c r="N101" s="8"/>
      <c r="O101" s="16">
        <f t="shared" si="17"/>
        <v>564.575</v>
      </c>
      <c r="P101" s="24">
        <f t="shared" si="28"/>
        <v>8982.003</v>
      </c>
      <c r="Q101" s="24"/>
      <c r="R101" s="26">
        <f t="shared" si="18"/>
        <v>7575.5700000000015</v>
      </c>
      <c r="S101" s="11"/>
      <c r="T101" s="11"/>
      <c r="U101" s="11"/>
      <c r="V101" s="11"/>
      <c r="W101" s="11"/>
      <c r="X101" s="11"/>
      <c r="Y101" s="11"/>
      <c r="Z101" s="24">
        <f t="shared" si="29"/>
        <v>0</v>
      </c>
      <c r="AA101" s="24">
        <f t="shared" si="19"/>
        <v>3178.044000000001</v>
      </c>
      <c r="AB101" s="24"/>
      <c r="AC101" s="24">
        <f t="shared" si="32"/>
        <v>1207.1640000000002</v>
      </c>
      <c r="AD101" s="26">
        <f t="shared" si="20"/>
        <v>577.24</v>
      </c>
      <c r="AE101" s="8"/>
      <c r="AF101" s="8"/>
      <c r="AG101" s="26"/>
      <c r="AH101" s="24">
        <f t="shared" si="21"/>
        <v>2907.048</v>
      </c>
      <c r="AI101" s="24"/>
      <c r="AJ101" s="24">
        <f t="shared" si="30"/>
        <v>24427.069000000007</v>
      </c>
    </row>
    <row r="102" spans="1:36" ht="15.75">
      <c r="A102" s="3" t="s">
        <v>81</v>
      </c>
      <c r="B102" s="4" t="s">
        <v>34</v>
      </c>
      <c r="C102" s="3" t="s">
        <v>2</v>
      </c>
      <c r="D102" s="18">
        <v>813.6</v>
      </c>
      <c r="E102" s="11">
        <f t="shared" si="22"/>
        <v>3514.7520000000004</v>
      </c>
      <c r="F102" s="11">
        <f t="shared" si="23"/>
        <v>11618.207999999999</v>
      </c>
      <c r="G102" s="11">
        <f t="shared" si="24"/>
        <v>11520.576000000001</v>
      </c>
      <c r="H102" s="11">
        <f t="shared" si="25"/>
        <v>2538.432</v>
      </c>
      <c r="I102" s="11">
        <f t="shared" si="26"/>
        <v>585.792</v>
      </c>
      <c r="J102" s="11">
        <f t="shared" si="27"/>
        <v>1757.3760000000002</v>
      </c>
      <c r="K102" s="11">
        <f>11*8*4+11*6*2</f>
        <v>484</v>
      </c>
      <c r="L102" s="8">
        <f>144.73*18</f>
        <v>2605.14</v>
      </c>
      <c r="M102" s="8"/>
      <c r="N102" s="8">
        <f>16*20.77</f>
        <v>332.32</v>
      </c>
      <c r="O102" s="16">
        <f t="shared" si="17"/>
        <v>2237.4000000000005</v>
      </c>
      <c r="P102" s="24">
        <f t="shared" si="28"/>
        <v>37193.99600000001</v>
      </c>
      <c r="Q102" s="24"/>
      <c r="R102" s="26">
        <f t="shared" si="18"/>
        <v>30021.840000000004</v>
      </c>
      <c r="S102" s="11"/>
      <c r="T102" s="11"/>
      <c r="U102" s="11">
        <v>13902</v>
      </c>
      <c r="V102" s="11">
        <v>45160</v>
      </c>
      <c r="W102" s="11"/>
      <c r="X102" s="11"/>
      <c r="Y102" s="11"/>
      <c r="Z102" s="24">
        <f t="shared" si="29"/>
        <v>59062</v>
      </c>
      <c r="AA102" s="24">
        <f t="shared" si="19"/>
        <v>12594.528000000002</v>
      </c>
      <c r="AB102" s="24"/>
      <c r="AC102" s="24">
        <f t="shared" si="32"/>
        <v>4783.968</v>
      </c>
      <c r="AD102" s="26">
        <f t="shared" si="20"/>
        <v>2280.4800000000005</v>
      </c>
      <c r="AE102" s="8"/>
      <c r="AF102" s="8"/>
      <c r="AG102" s="26"/>
      <c r="AH102" s="24">
        <f t="shared" si="21"/>
        <v>11520.576000000001</v>
      </c>
      <c r="AI102" s="24">
        <v>57500</v>
      </c>
      <c r="AJ102" s="24">
        <f t="shared" si="30"/>
        <v>214957.388</v>
      </c>
    </row>
    <row r="103" spans="1:36" ht="15.75">
      <c r="A103" s="3" t="s">
        <v>81</v>
      </c>
      <c r="B103" s="4" t="s">
        <v>69</v>
      </c>
      <c r="C103" s="3" t="s">
        <v>2</v>
      </c>
      <c r="D103" s="18">
        <v>671</v>
      </c>
      <c r="E103" s="11">
        <f t="shared" si="22"/>
        <v>2898.7200000000003</v>
      </c>
      <c r="F103" s="11">
        <f t="shared" si="23"/>
        <v>9581.880000000001</v>
      </c>
      <c r="G103" s="11">
        <f t="shared" si="24"/>
        <v>9501.36</v>
      </c>
      <c r="H103" s="11">
        <f t="shared" si="25"/>
        <v>2093.52</v>
      </c>
      <c r="I103" s="11">
        <f t="shared" si="26"/>
        <v>483.12</v>
      </c>
      <c r="J103" s="11">
        <f t="shared" si="27"/>
        <v>1449.3600000000001</v>
      </c>
      <c r="K103" s="11">
        <f>12*8*4+12*6*2</f>
        <v>528</v>
      </c>
      <c r="L103" s="8">
        <f>144.73*18</f>
        <v>2605.14</v>
      </c>
      <c r="M103" s="8"/>
      <c r="N103" s="8"/>
      <c r="O103" s="16">
        <f t="shared" si="17"/>
        <v>1845.25</v>
      </c>
      <c r="P103" s="24">
        <f t="shared" si="28"/>
        <v>30986.350000000002</v>
      </c>
      <c r="Q103" s="24"/>
      <c r="R103" s="26">
        <f t="shared" si="18"/>
        <v>24759.9</v>
      </c>
      <c r="S103" s="11"/>
      <c r="T103" s="11"/>
      <c r="U103" s="11">
        <v>78948</v>
      </c>
      <c r="V103" s="11">
        <v>34980</v>
      </c>
      <c r="W103" s="11"/>
      <c r="X103" s="11"/>
      <c r="Y103" s="11"/>
      <c r="Z103" s="24">
        <f t="shared" si="29"/>
        <v>113928</v>
      </c>
      <c r="AA103" s="24">
        <f t="shared" si="19"/>
        <v>10387.08</v>
      </c>
      <c r="AB103" s="24"/>
      <c r="AC103" s="24">
        <f t="shared" si="32"/>
        <v>3945.4800000000005</v>
      </c>
      <c r="AD103" s="26">
        <f t="shared" si="20"/>
        <v>1881.2000000000003</v>
      </c>
      <c r="AE103" s="8"/>
      <c r="AF103" s="8"/>
      <c r="AG103" s="26"/>
      <c r="AH103" s="24">
        <f t="shared" si="21"/>
        <v>9501.36</v>
      </c>
      <c r="AI103" s="24">
        <v>57500</v>
      </c>
      <c r="AJ103" s="24">
        <f t="shared" si="30"/>
        <v>252889.37</v>
      </c>
    </row>
    <row r="104" spans="1:36" ht="15.75">
      <c r="A104" s="3" t="s">
        <v>81</v>
      </c>
      <c r="B104" s="4" t="s">
        <v>35</v>
      </c>
      <c r="C104" s="3" t="s">
        <v>2</v>
      </c>
      <c r="D104" s="18">
        <v>4824</v>
      </c>
      <c r="E104" s="11">
        <f t="shared" si="22"/>
        <v>20839.68</v>
      </c>
      <c r="F104" s="11">
        <f t="shared" si="23"/>
        <v>68886.72</v>
      </c>
      <c r="G104" s="11">
        <f t="shared" si="24"/>
        <v>68307.84</v>
      </c>
      <c r="H104" s="11">
        <f t="shared" si="25"/>
        <v>15050.880000000001</v>
      </c>
      <c r="I104" s="11">
        <f t="shared" si="26"/>
        <v>3473.2799999999997</v>
      </c>
      <c r="J104" s="11">
        <f t="shared" si="27"/>
        <v>10419.84</v>
      </c>
      <c r="K104" s="11">
        <f>105*8*4+105*6*2</f>
        <v>4620</v>
      </c>
      <c r="L104" s="8">
        <f>144.73*3</f>
        <v>434.18999999999994</v>
      </c>
      <c r="M104" s="8"/>
      <c r="N104" s="8"/>
      <c r="O104" s="16">
        <f t="shared" si="17"/>
        <v>13266.000000000002</v>
      </c>
      <c r="P104" s="24">
        <f t="shared" si="28"/>
        <v>205298.43</v>
      </c>
      <c r="Q104" s="24">
        <f>D104*1.27*5+D104*1.34*7</f>
        <v>75881.52</v>
      </c>
      <c r="R104" s="26">
        <f t="shared" si="18"/>
        <v>178005.6</v>
      </c>
      <c r="S104" s="8"/>
      <c r="T104" s="8"/>
      <c r="U104" s="8"/>
      <c r="V104" s="11"/>
      <c r="W104" s="11"/>
      <c r="X104" s="11"/>
      <c r="Y104" s="11"/>
      <c r="Z104" s="24">
        <f t="shared" si="29"/>
        <v>0</v>
      </c>
      <c r="AA104" s="24">
        <f t="shared" si="19"/>
        <v>74675.52</v>
      </c>
      <c r="AB104" s="24"/>
      <c r="AC104" s="24">
        <f t="shared" si="32"/>
        <v>28365.119999999995</v>
      </c>
      <c r="AD104" s="26">
        <f t="shared" si="20"/>
        <v>13509.6</v>
      </c>
      <c r="AE104" s="8"/>
      <c r="AF104" s="8"/>
      <c r="AG104" s="26"/>
      <c r="AH104" s="24">
        <f t="shared" si="21"/>
        <v>68307.84</v>
      </c>
      <c r="AI104" s="24">
        <v>230000</v>
      </c>
      <c r="AJ104" s="24">
        <f t="shared" si="30"/>
        <v>874043.63</v>
      </c>
    </row>
    <row r="105" spans="1:36" ht="15.75">
      <c r="A105" s="3" t="s">
        <v>81</v>
      </c>
      <c r="B105" s="4" t="s">
        <v>6</v>
      </c>
      <c r="C105" s="3" t="s">
        <v>2</v>
      </c>
      <c r="D105" s="18">
        <v>844.1</v>
      </c>
      <c r="E105" s="11">
        <f t="shared" si="22"/>
        <v>3646.5119999999997</v>
      </c>
      <c r="F105" s="11">
        <f t="shared" si="23"/>
        <v>12053.748</v>
      </c>
      <c r="G105" s="11">
        <f t="shared" si="24"/>
        <v>11952.456</v>
      </c>
      <c r="H105" s="11">
        <f t="shared" si="25"/>
        <v>2633.592</v>
      </c>
      <c r="I105" s="11">
        <f t="shared" si="26"/>
        <v>607.752</v>
      </c>
      <c r="J105" s="11">
        <f t="shared" si="27"/>
        <v>1823.2559999999999</v>
      </c>
      <c r="K105" s="11">
        <f>16*8*4+16*6*2</f>
        <v>704</v>
      </c>
      <c r="L105" s="8">
        <f>144.73*20</f>
        <v>2894.6</v>
      </c>
      <c r="M105" s="8"/>
      <c r="N105" s="8"/>
      <c r="O105" s="16">
        <f t="shared" si="17"/>
        <v>2321.275</v>
      </c>
      <c r="P105" s="24">
        <f t="shared" si="28"/>
        <v>38637.191000000006</v>
      </c>
      <c r="Q105" s="24"/>
      <c r="R105" s="26">
        <f t="shared" si="18"/>
        <v>31147.290000000005</v>
      </c>
      <c r="S105" s="11">
        <v>91000</v>
      </c>
      <c r="T105" s="11"/>
      <c r="U105" s="11"/>
      <c r="V105" s="11">
        <v>57240</v>
      </c>
      <c r="W105" s="11"/>
      <c r="X105" s="11"/>
      <c r="Y105" s="11"/>
      <c r="Z105" s="24">
        <f t="shared" si="29"/>
        <v>148240</v>
      </c>
      <c r="AA105" s="24">
        <f t="shared" si="19"/>
        <v>13066.668000000001</v>
      </c>
      <c r="AB105" s="24"/>
      <c r="AC105" s="24">
        <f t="shared" si="32"/>
        <v>4963.308</v>
      </c>
      <c r="AD105" s="26">
        <f t="shared" si="20"/>
        <v>2365.8800000000006</v>
      </c>
      <c r="AE105" s="8"/>
      <c r="AF105" s="8"/>
      <c r="AG105" s="26"/>
      <c r="AH105" s="24">
        <f t="shared" si="21"/>
        <v>11952.456</v>
      </c>
      <c r="AI105" s="24">
        <v>57500</v>
      </c>
      <c r="AJ105" s="24">
        <f t="shared" si="30"/>
        <v>307872.79300000006</v>
      </c>
    </row>
    <row r="106" spans="1:36" ht="15.75">
      <c r="A106" s="3" t="s">
        <v>82</v>
      </c>
      <c r="B106" s="4" t="s">
        <v>68</v>
      </c>
      <c r="C106" s="3" t="s">
        <v>2</v>
      </c>
      <c r="D106" s="18">
        <v>972.6</v>
      </c>
      <c r="E106" s="11">
        <f t="shared" si="22"/>
        <v>4201.632</v>
      </c>
      <c r="F106" s="11">
        <f t="shared" si="23"/>
        <v>13888.728</v>
      </c>
      <c r="G106" s="11">
        <f t="shared" si="24"/>
        <v>13772.016</v>
      </c>
      <c r="H106" s="11">
        <f t="shared" si="25"/>
        <v>3034.512</v>
      </c>
      <c r="I106" s="11">
        <f t="shared" si="26"/>
        <v>700.272</v>
      </c>
      <c r="J106" s="11">
        <f t="shared" si="27"/>
        <v>2100.816</v>
      </c>
      <c r="K106" s="11">
        <f>24*8*4+24*6*2</f>
        <v>1056</v>
      </c>
      <c r="L106" s="8">
        <f>144.73*30</f>
        <v>4341.9</v>
      </c>
      <c r="M106" s="8"/>
      <c r="N106" s="8"/>
      <c r="O106" s="16">
        <f t="shared" si="17"/>
        <v>2674.6500000000005</v>
      </c>
      <c r="P106" s="24">
        <f t="shared" si="28"/>
        <v>45770.526</v>
      </c>
      <c r="Q106" s="24"/>
      <c r="R106" s="26">
        <f t="shared" si="18"/>
        <v>35888.94</v>
      </c>
      <c r="S106" s="11"/>
      <c r="T106" s="11"/>
      <c r="U106" s="11"/>
      <c r="V106" s="11"/>
      <c r="W106" s="11">
        <f>6*220</f>
        <v>1320</v>
      </c>
      <c r="X106" s="11"/>
      <c r="Y106" s="11"/>
      <c r="Z106" s="24">
        <f t="shared" si="29"/>
        <v>1320</v>
      </c>
      <c r="AA106" s="24">
        <f t="shared" si="19"/>
        <v>15055.848</v>
      </c>
      <c r="AB106" s="24"/>
      <c r="AC106" s="24">
        <f t="shared" si="32"/>
        <v>5718.888</v>
      </c>
      <c r="AD106" s="26">
        <f t="shared" si="20"/>
        <v>2725.6800000000003</v>
      </c>
      <c r="AE106" s="8"/>
      <c r="AF106" s="8"/>
      <c r="AG106" s="26"/>
      <c r="AH106" s="24">
        <f t="shared" si="21"/>
        <v>13772.016</v>
      </c>
      <c r="AI106" s="24">
        <v>57500</v>
      </c>
      <c r="AJ106" s="24">
        <f t="shared" si="30"/>
        <v>177751.89800000002</v>
      </c>
    </row>
    <row r="107" spans="1:36" ht="15.75">
      <c r="A107" s="3" t="s">
        <v>82</v>
      </c>
      <c r="B107" s="4" t="s">
        <v>34</v>
      </c>
      <c r="C107" s="3" t="s">
        <v>2</v>
      </c>
      <c r="D107" s="18">
        <v>270.7</v>
      </c>
      <c r="E107" s="11">
        <f t="shared" si="22"/>
        <v>1169.424</v>
      </c>
      <c r="F107" s="11">
        <f t="shared" si="23"/>
        <v>3865.5959999999995</v>
      </c>
      <c r="G107" s="11">
        <f t="shared" si="24"/>
        <v>3833.112</v>
      </c>
      <c r="H107" s="11">
        <f t="shared" si="25"/>
        <v>844.5840000000001</v>
      </c>
      <c r="I107" s="11">
        <f t="shared" si="26"/>
        <v>194.90399999999997</v>
      </c>
      <c r="J107" s="11">
        <f t="shared" si="27"/>
        <v>584.712</v>
      </c>
      <c r="K107" s="11">
        <f>4*6*2</f>
        <v>48</v>
      </c>
      <c r="L107" s="8">
        <f>144.73*8</f>
        <v>1157.84</v>
      </c>
      <c r="M107" s="8"/>
      <c r="N107" s="8"/>
      <c r="O107" s="16">
        <f t="shared" si="17"/>
        <v>744.4250000000001</v>
      </c>
      <c r="P107" s="24">
        <f t="shared" si="28"/>
        <v>12442.597</v>
      </c>
      <c r="Q107" s="24"/>
      <c r="R107" s="26">
        <f t="shared" si="18"/>
        <v>9988.829999999998</v>
      </c>
      <c r="S107" s="11"/>
      <c r="T107" s="11"/>
      <c r="U107" s="11"/>
      <c r="V107" s="11"/>
      <c r="W107" s="11"/>
      <c r="X107" s="11"/>
      <c r="Y107" s="11"/>
      <c r="Z107" s="24">
        <f t="shared" si="29"/>
        <v>0</v>
      </c>
      <c r="AA107" s="24">
        <f t="shared" si="19"/>
        <v>4190.436</v>
      </c>
      <c r="AB107" s="24"/>
      <c r="AC107" s="24">
        <f t="shared" si="32"/>
        <v>1591.716</v>
      </c>
      <c r="AD107" s="26">
        <f t="shared" si="20"/>
        <v>760.36</v>
      </c>
      <c r="AE107" s="8"/>
      <c r="AF107" s="8"/>
      <c r="AG107" s="26"/>
      <c r="AH107" s="24">
        <f t="shared" si="21"/>
        <v>3833.112</v>
      </c>
      <c r="AI107" s="24"/>
      <c r="AJ107" s="24">
        <f t="shared" si="30"/>
        <v>32807.051</v>
      </c>
    </row>
    <row r="108" spans="1:36" ht="15.75">
      <c r="A108" s="3" t="s">
        <v>82</v>
      </c>
      <c r="B108" s="4" t="s">
        <v>69</v>
      </c>
      <c r="C108" s="3" t="s">
        <v>2</v>
      </c>
      <c r="D108" s="18">
        <v>424.8</v>
      </c>
      <c r="E108" s="11">
        <f t="shared" si="22"/>
        <v>1835.136</v>
      </c>
      <c r="F108" s="11">
        <f t="shared" si="23"/>
        <v>6066.144</v>
      </c>
      <c r="G108" s="11">
        <f t="shared" si="24"/>
        <v>6015.168</v>
      </c>
      <c r="H108" s="11">
        <f t="shared" si="25"/>
        <v>1325.3760000000002</v>
      </c>
      <c r="I108" s="11">
        <f t="shared" si="26"/>
        <v>305.856</v>
      </c>
      <c r="J108" s="11">
        <f t="shared" si="27"/>
        <v>917.568</v>
      </c>
      <c r="K108" s="11">
        <f>8*6*2</f>
        <v>96</v>
      </c>
      <c r="L108" s="8">
        <f>144.73*12</f>
        <v>1736.7599999999998</v>
      </c>
      <c r="M108" s="8"/>
      <c r="N108" s="8"/>
      <c r="O108" s="16">
        <f t="shared" si="17"/>
        <v>1168.2</v>
      </c>
      <c r="P108" s="24">
        <f t="shared" si="28"/>
        <v>19466.208</v>
      </c>
      <c r="Q108" s="24"/>
      <c r="R108" s="26">
        <f t="shared" si="18"/>
        <v>15675.12</v>
      </c>
      <c r="S108" s="11">
        <v>9900</v>
      </c>
      <c r="T108" s="11"/>
      <c r="U108" s="11"/>
      <c r="V108" s="11"/>
      <c r="W108" s="11"/>
      <c r="X108" s="11">
        <v>5000</v>
      </c>
      <c r="Y108" s="11"/>
      <c r="Z108" s="24">
        <f t="shared" si="29"/>
        <v>14900</v>
      </c>
      <c r="AA108" s="24">
        <f t="shared" si="19"/>
        <v>6575.904</v>
      </c>
      <c r="AB108" s="24"/>
      <c r="AC108" s="24">
        <f t="shared" si="32"/>
        <v>2497.824</v>
      </c>
      <c r="AD108" s="26">
        <f t="shared" si="20"/>
        <v>1191.8400000000001</v>
      </c>
      <c r="AE108" s="8"/>
      <c r="AF108" s="8"/>
      <c r="AG108" s="26"/>
      <c r="AH108" s="24">
        <f t="shared" si="21"/>
        <v>6015.168</v>
      </c>
      <c r="AI108" s="24"/>
      <c r="AJ108" s="24">
        <f t="shared" si="30"/>
        <v>66322.06400000001</v>
      </c>
    </row>
    <row r="109" spans="1:36" ht="15.75">
      <c r="A109" s="3" t="s">
        <v>82</v>
      </c>
      <c r="B109" s="4" t="s">
        <v>9</v>
      </c>
      <c r="C109" s="3" t="s">
        <v>2</v>
      </c>
      <c r="D109" s="18">
        <v>3200.3</v>
      </c>
      <c r="E109" s="11">
        <f t="shared" si="22"/>
        <v>13825.295999999998</v>
      </c>
      <c r="F109" s="11">
        <f t="shared" si="23"/>
        <v>45700.284</v>
      </c>
      <c r="G109" s="11">
        <f t="shared" si="24"/>
        <v>45316.248</v>
      </c>
      <c r="H109" s="11">
        <f t="shared" si="25"/>
        <v>9984.936000000002</v>
      </c>
      <c r="I109" s="11">
        <f t="shared" si="26"/>
        <v>2304.216</v>
      </c>
      <c r="J109" s="11">
        <f t="shared" si="27"/>
        <v>6912.647999999999</v>
      </c>
      <c r="K109" s="11">
        <f>80*6*2</f>
        <v>960</v>
      </c>
      <c r="L109" s="8">
        <f>144.73*2</f>
        <v>289.46</v>
      </c>
      <c r="M109" s="8"/>
      <c r="N109" s="8"/>
      <c r="O109" s="16">
        <f t="shared" si="17"/>
        <v>8800.825</v>
      </c>
      <c r="P109" s="24">
        <f t="shared" si="28"/>
        <v>134093.91300000003</v>
      </c>
      <c r="Q109" s="24">
        <f aca="true" t="shared" si="33" ref="Q109:Q114">D109*1.27*5+D109*1.34*7</f>
        <v>50340.71900000001</v>
      </c>
      <c r="R109" s="26">
        <f t="shared" si="18"/>
        <v>118091.07000000002</v>
      </c>
      <c r="S109" s="11"/>
      <c r="T109" s="11"/>
      <c r="U109" s="11"/>
      <c r="V109" s="11"/>
      <c r="W109" s="11"/>
      <c r="X109" s="11">
        <v>6000</v>
      </c>
      <c r="Y109" s="11">
        <v>91580</v>
      </c>
      <c r="Z109" s="24">
        <f>SUM(S109:Y109)</f>
        <v>97580</v>
      </c>
      <c r="AA109" s="24">
        <f t="shared" si="19"/>
        <v>49540.64400000001</v>
      </c>
      <c r="AB109" s="24"/>
      <c r="AC109" s="24">
        <f t="shared" si="32"/>
        <v>18817.764000000003</v>
      </c>
      <c r="AD109" s="26">
        <f t="shared" si="20"/>
        <v>8963.24</v>
      </c>
      <c r="AE109" s="8"/>
      <c r="AF109" s="8"/>
      <c r="AG109" s="26"/>
      <c r="AH109" s="24">
        <f t="shared" si="21"/>
        <v>45316.248</v>
      </c>
      <c r="AI109" s="24"/>
      <c r="AJ109" s="24">
        <f t="shared" si="30"/>
        <v>522743.5980000001</v>
      </c>
    </row>
    <row r="110" spans="1:36" ht="15.75">
      <c r="A110" s="3" t="s">
        <v>82</v>
      </c>
      <c r="B110" s="4" t="s">
        <v>10</v>
      </c>
      <c r="C110" s="3" t="s">
        <v>2</v>
      </c>
      <c r="D110" s="18">
        <v>3200.3</v>
      </c>
      <c r="E110" s="11">
        <f t="shared" si="22"/>
        <v>13825.295999999998</v>
      </c>
      <c r="F110" s="11">
        <f t="shared" si="23"/>
        <v>45700.284</v>
      </c>
      <c r="G110" s="11">
        <f t="shared" si="24"/>
        <v>45316.248</v>
      </c>
      <c r="H110" s="11">
        <f t="shared" si="25"/>
        <v>9984.936000000002</v>
      </c>
      <c r="I110" s="11">
        <f t="shared" si="26"/>
        <v>2304.216</v>
      </c>
      <c r="J110" s="11">
        <f t="shared" si="27"/>
        <v>6912.647999999999</v>
      </c>
      <c r="K110" s="11">
        <f>60*6*2</f>
        <v>720</v>
      </c>
      <c r="L110" s="8">
        <f>144.73*3</f>
        <v>434.18999999999994</v>
      </c>
      <c r="M110" s="8"/>
      <c r="N110" s="8"/>
      <c r="O110" s="16">
        <f t="shared" si="17"/>
        <v>8800.825</v>
      </c>
      <c r="P110" s="24">
        <f t="shared" si="28"/>
        <v>133998.643</v>
      </c>
      <c r="Q110" s="24">
        <f t="shared" si="33"/>
        <v>50340.71900000001</v>
      </c>
      <c r="R110" s="26">
        <f t="shared" si="18"/>
        <v>118091.07000000002</v>
      </c>
      <c r="S110" s="11"/>
      <c r="T110" s="11"/>
      <c r="U110" s="11"/>
      <c r="V110" s="11"/>
      <c r="W110" s="11"/>
      <c r="X110" s="11"/>
      <c r="Y110" s="11">
        <v>439210</v>
      </c>
      <c r="Z110" s="24">
        <f>SUM(S110:Y110)</f>
        <v>439210</v>
      </c>
      <c r="AA110" s="24">
        <f t="shared" si="19"/>
        <v>49540.64400000001</v>
      </c>
      <c r="AB110" s="24"/>
      <c r="AC110" s="24">
        <f t="shared" si="32"/>
        <v>18817.764000000003</v>
      </c>
      <c r="AD110" s="26">
        <f t="shared" si="20"/>
        <v>8963.24</v>
      </c>
      <c r="AE110" s="8"/>
      <c r="AF110" s="8"/>
      <c r="AG110" s="26"/>
      <c r="AH110" s="24">
        <f t="shared" si="21"/>
        <v>45316.248</v>
      </c>
      <c r="AI110" s="24"/>
      <c r="AJ110" s="24">
        <f t="shared" si="30"/>
        <v>864278.328</v>
      </c>
    </row>
    <row r="111" spans="1:36" ht="15.75">
      <c r="A111" s="3" t="s">
        <v>82</v>
      </c>
      <c r="B111" s="4" t="s">
        <v>13</v>
      </c>
      <c r="C111" s="3" t="s">
        <v>2</v>
      </c>
      <c r="D111" s="18">
        <v>3181.3</v>
      </c>
      <c r="E111" s="11">
        <f t="shared" si="22"/>
        <v>13743.216</v>
      </c>
      <c r="F111" s="11">
        <f t="shared" si="23"/>
        <v>45428.964</v>
      </c>
      <c r="G111" s="11">
        <f t="shared" si="24"/>
        <v>45047.208</v>
      </c>
      <c r="H111" s="11">
        <f t="shared" si="25"/>
        <v>9925.656</v>
      </c>
      <c r="I111" s="11">
        <f t="shared" si="26"/>
        <v>2290.536</v>
      </c>
      <c r="J111" s="11">
        <f t="shared" si="27"/>
        <v>6871.608</v>
      </c>
      <c r="K111" s="11">
        <f>80*6*2</f>
        <v>960</v>
      </c>
      <c r="L111" s="8">
        <f>144.73*2</f>
        <v>289.46</v>
      </c>
      <c r="M111" s="8"/>
      <c r="N111" s="8"/>
      <c r="O111" s="16">
        <f t="shared" si="17"/>
        <v>8748.575</v>
      </c>
      <c r="P111" s="24">
        <f t="shared" si="28"/>
        <v>133305.22300000003</v>
      </c>
      <c r="Q111" s="24">
        <f t="shared" si="33"/>
        <v>50041.849</v>
      </c>
      <c r="R111" s="26">
        <f t="shared" si="18"/>
        <v>117389.97000000003</v>
      </c>
      <c r="S111" s="11"/>
      <c r="T111" s="11"/>
      <c r="U111" s="11"/>
      <c r="V111" s="11"/>
      <c r="W111" s="11"/>
      <c r="X111" s="11"/>
      <c r="Y111" s="11"/>
      <c r="Z111" s="24">
        <f t="shared" si="29"/>
        <v>0</v>
      </c>
      <c r="AA111" s="24">
        <f t="shared" si="19"/>
        <v>49246.524000000005</v>
      </c>
      <c r="AB111" s="24"/>
      <c r="AC111" s="24">
        <f t="shared" si="32"/>
        <v>18706.044</v>
      </c>
      <c r="AD111" s="26">
        <f t="shared" si="20"/>
        <v>8910.04</v>
      </c>
      <c r="AE111" s="8"/>
      <c r="AF111" s="8"/>
      <c r="AG111" s="26"/>
      <c r="AH111" s="24">
        <f t="shared" si="21"/>
        <v>45047.208</v>
      </c>
      <c r="AI111" s="24"/>
      <c r="AJ111" s="24">
        <f t="shared" si="30"/>
        <v>422646.85800000007</v>
      </c>
    </row>
    <row r="112" spans="1:36" ht="15.75">
      <c r="A112" s="3" t="s">
        <v>82</v>
      </c>
      <c r="B112" s="4" t="s">
        <v>15</v>
      </c>
      <c r="C112" s="3" t="s">
        <v>2</v>
      </c>
      <c r="D112" s="18">
        <v>3172.8</v>
      </c>
      <c r="E112" s="11">
        <f t="shared" si="22"/>
        <v>13706.496000000001</v>
      </c>
      <c r="F112" s="11">
        <f t="shared" si="23"/>
        <v>45307.584</v>
      </c>
      <c r="G112" s="11">
        <f t="shared" si="24"/>
        <v>44926.848</v>
      </c>
      <c r="H112" s="11">
        <f t="shared" si="25"/>
        <v>9899.136000000002</v>
      </c>
      <c r="I112" s="11">
        <f t="shared" si="26"/>
        <v>2284.416</v>
      </c>
      <c r="J112" s="11">
        <f t="shared" si="27"/>
        <v>6853.2480000000005</v>
      </c>
      <c r="K112" s="11">
        <f>80*6*2</f>
        <v>960</v>
      </c>
      <c r="L112" s="8">
        <f>144.73*3</f>
        <v>434.18999999999994</v>
      </c>
      <c r="M112" s="8"/>
      <c r="N112" s="8"/>
      <c r="O112" s="16">
        <f t="shared" si="17"/>
        <v>8725.2</v>
      </c>
      <c r="P112" s="24">
        <f t="shared" si="28"/>
        <v>133097.11800000002</v>
      </c>
      <c r="Q112" s="24">
        <f t="shared" si="33"/>
        <v>49908.144</v>
      </c>
      <c r="R112" s="26">
        <f t="shared" si="18"/>
        <v>117076.32000000002</v>
      </c>
      <c r="S112" s="11">
        <v>55320</v>
      </c>
      <c r="T112" s="11"/>
      <c r="U112" s="11"/>
      <c r="V112" s="11"/>
      <c r="W112" s="11"/>
      <c r="X112" s="11"/>
      <c r="Y112" s="11"/>
      <c r="Z112" s="24">
        <f t="shared" si="29"/>
        <v>55320</v>
      </c>
      <c r="AA112" s="24">
        <f t="shared" si="19"/>
        <v>49114.944</v>
      </c>
      <c r="AB112" s="24"/>
      <c r="AC112" s="24">
        <f t="shared" si="32"/>
        <v>18656.064</v>
      </c>
      <c r="AD112" s="26">
        <f t="shared" si="20"/>
        <v>8886.24</v>
      </c>
      <c r="AE112" s="8"/>
      <c r="AF112" s="8"/>
      <c r="AG112" s="26"/>
      <c r="AH112" s="24">
        <f t="shared" si="21"/>
        <v>44926.848</v>
      </c>
      <c r="AI112" s="24"/>
      <c r="AJ112" s="24">
        <f t="shared" si="30"/>
        <v>476985.6780000001</v>
      </c>
    </row>
    <row r="113" spans="1:36" ht="15.75">
      <c r="A113" s="3" t="s">
        <v>82</v>
      </c>
      <c r="B113" s="4" t="s">
        <v>83</v>
      </c>
      <c r="C113" s="3" t="s">
        <v>2</v>
      </c>
      <c r="D113" s="18">
        <v>3515.1</v>
      </c>
      <c r="E113" s="11">
        <f t="shared" si="22"/>
        <v>15185.232</v>
      </c>
      <c r="F113" s="11">
        <f t="shared" si="23"/>
        <v>50195.628</v>
      </c>
      <c r="G113" s="11">
        <f t="shared" si="24"/>
        <v>49773.81599999999</v>
      </c>
      <c r="H113" s="11">
        <f t="shared" si="25"/>
        <v>10967.112000000001</v>
      </c>
      <c r="I113" s="11">
        <f t="shared" si="26"/>
        <v>2530.872</v>
      </c>
      <c r="J113" s="11">
        <f t="shared" si="27"/>
        <v>7592.616</v>
      </c>
      <c r="K113" s="11">
        <f>78*6*2</f>
        <v>936</v>
      </c>
      <c r="L113" s="8">
        <f>144.73*3</f>
        <v>434.18999999999994</v>
      </c>
      <c r="M113" s="8"/>
      <c r="N113" s="8"/>
      <c r="O113" s="16">
        <f t="shared" si="17"/>
        <v>9666.525</v>
      </c>
      <c r="P113" s="24">
        <f t="shared" si="28"/>
        <v>147281.991</v>
      </c>
      <c r="Q113" s="24">
        <f t="shared" si="33"/>
        <v>55292.523</v>
      </c>
      <c r="R113" s="26">
        <f t="shared" si="18"/>
        <v>129707.18999999999</v>
      </c>
      <c r="S113" s="11">
        <v>46150</v>
      </c>
      <c r="T113" s="11"/>
      <c r="U113" s="11"/>
      <c r="V113" s="11"/>
      <c r="W113" s="11"/>
      <c r="X113" s="11">
        <v>159000</v>
      </c>
      <c r="Y113" s="11"/>
      <c r="Z113" s="24">
        <f t="shared" si="29"/>
        <v>205150</v>
      </c>
      <c r="AA113" s="24">
        <f t="shared" si="19"/>
        <v>54413.74800000001</v>
      </c>
      <c r="AB113" s="24"/>
      <c r="AC113" s="24">
        <f t="shared" si="32"/>
        <v>20668.788</v>
      </c>
      <c r="AD113" s="26">
        <f t="shared" si="20"/>
        <v>9844.679999999998</v>
      </c>
      <c r="AE113" s="8"/>
      <c r="AF113" s="8"/>
      <c r="AG113" s="26"/>
      <c r="AH113" s="24">
        <f t="shared" si="21"/>
        <v>49773.81599999999</v>
      </c>
      <c r="AI113" s="24"/>
      <c r="AJ113" s="24">
        <f t="shared" si="30"/>
        <v>672132.736</v>
      </c>
    </row>
    <row r="114" spans="1:36" ht="15.75">
      <c r="A114" s="3" t="s">
        <v>82</v>
      </c>
      <c r="B114" s="4" t="s">
        <v>84</v>
      </c>
      <c r="C114" s="3" t="s">
        <v>2</v>
      </c>
      <c r="D114" s="18">
        <v>3499.1</v>
      </c>
      <c r="E114" s="11">
        <f t="shared" si="22"/>
        <v>15116.112</v>
      </c>
      <c r="F114" s="11">
        <f t="shared" si="23"/>
        <v>49967.148</v>
      </c>
      <c r="G114" s="11">
        <f t="shared" si="24"/>
        <v>49547.256</v>
      </c>
      <c r="H114" s="11">
        <f t="shared" si="25"/>
        <v>10917.192</v>
      </c>
      <c r="I114" s="11">
        <f t="shared" si="26"/>
        <v>2519.352</v>
      </c>
      <c r="J114" s="11">
        <f t="shared" si="27"/>
        <v>7558.056</v>
      </c>
      <c r="K114" s="11">
        <f>78*6*2</f>
        <v>936</v>
      </c>
      <c r="L114" s="8">
        <f>144.73*2</f>
        <v>289.46</v>
      </c>
      <c r="M114" s="8"/>
      <c r="N114" s="8"/>
      <c r="O114" s="16">
        <f t="shared" si="17"/>
        <v>9622.525000000001</v>
      </c>
      <c r="P114" s="24">
        <f t="shared" si="28"/>
        <v>146473.101</v>
      </c>
      <c r="Q114" s="24">
        <f t="shared" si="33"/>
        <v>55040.84299999999</v>
      </c>
      <c r="R114" s="26">
        <f t="shared" si="18"/>
        <v>129116.79</v>
      </c>
      <c r="S114" s="11">
        <v>30400</v>
      </c>
      <c r="T114" s="11"/>
      <c r="U114" s="11"/>
      <c r="V114" s="11"/>
      <c r="W114" s="11"/>
      <c r="X114" s="11">
        <v>126400</v>
      </c>
      <c r="Y114" s="11"/>
      <c r="Z114" s="24">
        <f t="shared" si="29"/>
        <v>156800</v>
      </c>
      <c r="AA114" s="24">
        <f t="shared" si="19"/>
        <v>54166.068</v>
      </c>
      <c r="AB114" s="24"/>
      <c r="AC114" s="24">
        <f t="shared" si="32"/>
        <v>20574.708</v>
      </c>
      <c r="AD114" s="26">
        <f t="shared" si="20"/>
        <v>9799.880000000001</v>
      </c>
      <c r="AE114" s="8"/>
      <c r="AF114" s="8"/>
      <c r="AG114" s="26"/>
      <c r="AH114" s="24">
        <f t="shared" si="21"/>
        <v>49547.256</v>
      </c>
      <c r="AI114" s="24"/>
      <c r="AJ114" s="24">
        <f t="shared" si="30"/>
        <v>621518.6460000001</v>
      </c>
    </row>
    <row r="115" spans="1:36" ht="15.75">
      <c r="A115" s="3" t="s">
        <v>82</v>
      </c>
      <c r="B115" s="4" t="s">
        <v>44</v>
      </c>
      <c r="C115" s="3" t="s">
        <v>2</v>
      </c>
      <c r="D115" s="18">
        <v>969.2</v>
      </c>
      <c r="E115" s="11">
        <f t="shared" si="22"/>
        <v>4186.9439999999995</v>
      </c>
      <c r="F115" s="11">
        <f t="shared" si="23"/>
        <v>13840.176</v>
      </c>
      <c r="G115" s="11">
        <f t="shared" si="24"/>
        <v>13723.872</v>
      </c>
      <c r="H115" s="11">
        <f t="shared" si="25"/>
        <v>3023.9040000000005</v>
      </c>
      <c r="I115" s="11">
        <f t="shared" si="26"/>
        <v>697.8240000000001</v>
      </c>
      <c r="J115" s="11">
        <f t="shared" si="27"/>
        <v>2093.4719999999998</v>
      </c>
      <c r="K115" s="11">
        <f>24*8*4+24*6*2</f>
        <v>1056</v>
      </c>
      <c r="L115" s="8">
        <f>144.73*30</f>
        <v>4341.9</v>
      </c>
      <c r="M115" s="8"/>
      <c r="N115" s="8"/>
      <c r="O115" s="16">
        <f t="shared" si="17"/>
        <v>2665.3</v>
      </c>
      <c r="P115" s="24">
        <f t="shared" si="28"/>
        <v>45629.39200000001</v>
      </c>
      <c r="Q115" s="24"/>
      <c r="R115" s="26">
        <f t="shared" si="18"/>
        <v>35763.48000000001</v>
      </c>
      <c r="S115" s="11">
        <v>61850</v>
      </c>
      <c r="T115" s="11"/>
      <c r="U115" s="11"/>
      <c r="V115" s="11">
        <v>47700</v>
      </c>
      <c r="W115" s="11"/>
      <c r="X115" s="11"/>
      <c r="Y115" s="11">
        <v>68599</v>
      </c>
      <c r="Z115" s="24">
        <f>SUM(S115:Y115)</f>
        <v>178149</v>
      </c>
      <c r="AA115" s="24">
        <f t="shared" si="19"/>
        <v>15003.216</v>
      </c>
      <c r="AB115" s="24"/>
      <c r="AC115" s="24">
        <f t="shared" si="32"/>
        <v>5698.896000000001</v>
      </c>
      <c r="AD115" s="26">
        <f t="shared" si="20"/>
        <v>2716.1600000000003</v>
      </c>
      <c r="AE115" s="8"/>
      <c r="AF115" s="8"/>
      <c r="AG115" s="26"/>
      <c r="AH115" s="24">
        <f t="shared" si="21"/>
        <v>13723.872</v>
      </c>
      <c r="AI115" s="24">
        <v>57500</v>
      </c>
      <c r="AJ115" s="24">
        <f t="shared" si="30"/>
        <v>354184.016</v>
      </c>
    </row>
    <row r="116" spans="1:36" ht="15.75">
      <c r="A116" s="3" t="s">
        <v>82</v>
      </c>
      <c r="B116" s="4" t="s">
        <v>66</v>
      </c>
      <c r="C116" s="3" t="s">
        <v>2</v>
      </c>
      <c r="D116" s="18">
        <v>2045.3</v>
      </c>
      <c r="E116" s="11">
        <f t="shared" si="22"/>
        <v>8835.696</v>
      </c>
      <c r="F116" s="11">
        <f t="shared" si="23"/>
        <v>29206.884</v>
      </c>
      <c r="G116" s="11">
        <f t="shared" si="24"/>
        <v>28961.447999999997</v>
      </c>
      <c r="H116" s="11">
        <f t="shared" si="25"/>
        <v>6381.336</v>
      </c>
      <c r="I116" s="11">
        <f t="shared" si="26"/>
        <v>1472.616</v>
      </c>
      <c r="J116" s="11">
        <f t="shared" si="27"/>
        <v>4417.848</v>
      </c>
      <c r="K116" s="11">
        <f>48*8*4+48*6*2</f>
        <v>2112</v>
      </c>
      <c r="L116" s="8">
        <f>144.73*3</f>
        <v>434.18999999999994</v>
      </c>
      <c r="M116" s="8"/>
      <c r="N116" s="8"/>
      <c r="O116" s="16">
        <f t="shared" si="17"/>
        <v>5624.575</v>
      </c>
      <c r="P116" s="24">
        <f t="shared" si="28"/>
        <v>87446.59299999998</v>
      </c>
      <c r="Q116" s="24">
        <f aca="true" t="shared" si="34" ref="Q116:Q129">D116*1.27*5+D116*1.34*7</f>
        <v>32172.569</v>
      </c>
      <c r="R116" s="26">
        <f t="shared" si="18"/>
        <v>75471.56999999999</v>
      </c>
      <c r="S116" s="11">
        <v>941</v>
      </c>
      <c r="T116" s="11"/>
      <c r="U116" s="11"/>
      <c r="V116" s="11"/>
      <c r="W116" s="11">
        <f>6*220</f>
        <v>1320</v>
      </c>
      <c r="X116" s="11"/>
      <c r="Y116" s="11"/>
      <c r="Z116" s="24">
        <f t="shared" si="29"/>
        <v>2261</v>
      </c>
      <c r="AA116" s="24">
        <f t="shared" si="19"/>
        <v>31661.244</v>
      </c>
      <c r="AB116" s="24"/>
      <c r="AC116" s="24">
        <f t="shared" si="32"/>
        <v>12026.364</v>
      </c>
      <c r="AD116" s="26">
        <f t="shared" si="20"/>
        <v>5729.24</v>
      </c>
      <c r="AE116" s="8"/>
      <c r="AF116" s="8"/>
      <c r="AG116" s="26"/>
      <c r="AH116" s="24">
        <f t="shared" si="21"/>
        <v>28961.447999999997</v>
      </c>
      <c r="AI116" s="24">
        <v>57500</v>
      </c>
      <c r="AJ116" s="24">
        <f t="shared" si="30"/>
        <v>333230.02799999993</v>
      </c>
    </row>
    <row r="117" spans="1:36" ht="15.75">
      <c r="A117" s="3" t="s">
        <v>85</v>
      </c>
      <c r="B117" s="4" t="s">
        <v>1</v>
      </c>
      <c r="C117" s="3" t="s">
        <v>2</v>
      </c>
      <c r="D117" s="18">
        <v>2888.6</v>
      </c>
      <c r="E117" s="11">
        <f t="shared" si="22"/>
        <v>12478.752</v>
      </c>
      <c r="F117" s="11">
        <f t="shared" si="23"/>
        <v>41249.208</v>
      </c>
      <c r="G117" s="11">
        <f t="shared" si="24"/>
        <v>40902.576</v>
      </c>
      <c r="H117" s="11">
        <f t="shared" si="25"/>
        <v>9012.432</v>
      </c>
      <c r="I117" s="11">
        <f t="shared" si="26"/>
        <v>2079.7919999999995</v>
      </c>
      <c r="J117" s="11">
        <f t="shared" si="27"/>
        <v>6239.376</v>
      </c>
      <c r="K117" s="11">
        <f>32*8*4+32*6*2</f>
        <v>1408</v>
      </c>
      <c r="L117" s="8">
        <f>144.73*3</f>
        <v>434.18999999999994</v>
      </c>
      <c r="M117" s="8"/>
      <c r="N117" s="8"/>
      <c r="O117" s="16">
        <f t="shared" si="17"/>
        <v>7943.65</v>
      </c>
      <c r="P117" s="24">
        <f t="shared" si="28"/>
        <v>121747.976</v>
      </c>
      <c r="Q117" s="24">
        <f t="shared" si="34"/>
        <v>45437.678</v>
      </c>
      <c r="R117" s="26">
        <f t="shared" si="18"/>
        <v>106589.34</v>
      </c>
      <c r="S117" s="11">
        <v>108190</v>
      </c>
      <c r="T117" s="11"/>
      <c r="U117" s="11">
        <v>1830</v>
      </c>
      <c r="V117" s="11">
        <v>81730</v>
      </c>
      <c r="W117" s="11"/>
      <c r="X117" s="11"/>
      <c r="Y117" s="11"/>
      <c r="Z117" s="24">
        <f t="shared" si="29"/>
        <v>191750</v>
      </c>
      <c r="AA117" s="24">
        <f t="shared" si="19"/>
        <v>44715.528</v>
      </c>
      <c r="AB117" s="24"/>
      <c r="AC117" s="24">
        <f t="shared" si="32"/>
        <v>16984.968</v>
      </c>
      <c r="AD117" s="26">
        <f t="shared" si="20"/>
        <v>8090.48</v>
      </c>
      <c r="AE117" s="8"/>
      <c r="AF117" s="8"/>
      <c r="AG117" s="26"/>
      <c r="AH117" s="24">
        <f t="shared" si="21"/>
        <v>40902.576</v>
      </c>
      <c r="AI117" s="24"/>
      <c r="AJ117" s="24">
        <f t="shared" si="30"/>
        <v>576218.546</v>
      </c>
    </row>
    <row r="118" spans="1:36" ht="15.75">
      <c r="A118" s="3" t="s">
        <v>85</v>
      </c>
      <c r="B118" s="4" t="s">
        <v>86</v>
      </c>
      <c r="C118" s="3" t="s">
        <v>2</v>
      </c>
      <c r="D118" s="18">
        <v>2559.6</v>
      </c>
      <c r="E118" s="11">
        <f t="shared" si="22"/>
        <v>11057.471999999998</v>
      </c>
      <c r="F118" s="11">
        <f t="shared" si="23"/>
        <v>36551.088</v>
      </c>
      <c r="G118" s="11">
        <f t="shared" si="24"/>
        <v>36243.935999999994</v>
      </c>
      <c r="H118" s="11">
        <f t="shared" si="25"/>
        <v>7985.951999999999</v>
      </c>
      <c r="I118" s="11">
        <f t="shared" si="26"/>
        <v>1842.9119999999998</v>
      </c>
      <c r="J118" s="11">
        <f t="shared" si="27"/>
        <v>5528.735999999999</v>
      </c>
      <c r="K118" s="11">
        <f>60*8+60*6*2</f>
        <v>1200</v>
      </c>
      <c r="L118" s="8">
        <f>144.73*3</f>
        <v>434.18999999999994</v>
      </c>
      <c r="M118" s="8"/>
      <c r="N118" s="8"/>
      <c r="O118" s="16">
        <f t="shared" si="17"/>
        <v>7038.9</v>
      </c>
      <c r="P118" s="24">
        <f t="shared" si="28"/>
        <v>107883.18599999999</v>
      </c>
      <c r="Q118" s="24">
        <f t="shared" si="34"/>
        <v>40262.508</v>
      </c>
      <c r="R118" s="26">
        <f t="shared" si="18"/>
        <v>94449.23999999999</v>
      </c>
      <c r="S118" s="11"/>
      <c r="T118" s="11"/>
      <c r="U118" s="11"/>
      <c r="V118" s="11">
        <v>38160</v>
      </c>
      <c r="W118" s="11"/>
      <c r="X118" s="11"/>
      <c r="Y118" s="11">
        <v>234940</v>
      </c>
      <c r="Z118" s="24">
        <f>SUM(S118:Y118)</f>
        <v>273100</v>
      </c>
      <c r="AA118" s="24">
        <f t="shared" si="19"/>
        <v>39622.608</v>
      </c>
      <c r="AB118" s="24"/>
      <c r="AC118" s="24">
        <f t="shared" si="32"/>
        <v>15050.448</v>
      </c>
      <c r="AD118" s="26">
        <f t="shared" si="20"/>
        <v>7169.28</v>
      </c>
      <c r="AE118" s="8"/>
      <c r="AF118" s="8"/>
      <c r="AG118" s="26"/>
      <c r="AH118" s="24">
        <f t="shared" si="21"/>
        <v>36243.935999999994</v>
      </c>
      <c r="AI118" s="24"/>
      <c r="AJ118" s="24">
        <f t="shared" si="30"/>
        <v>613781.206</v>
      </c>
    </row>
    <row r="119" spans="1:36" ht="15.75">
      <c r="A119" s="3" t="s">
        <v>85</v>
      </c>
      <c r="B119" s="4" t="s">
        <v>87</v>
      </c>
      <c r="C119" s="3" t="s">
        <v>2</v>
      </c>
      <c r="D119" s="18">
        <v>2587.6</v>
      </c>
      <c r="E119" s="11">
        <f t="shared" si="22"/>
        <v>11178.431999999999</v>
      </c>
      <c r="F119" s="11">
        <f t="shared" si="23"/>
        <v>36950.928</v>
      </c>
      <c r="G119" s="11">
        <f t="shared" si="24"/>
        <v>36640.416</v>
      </c>
      <c r="H119" s="11">
        <f t="shared" si="25"/>
        <v>8073.312</v>
      </c>
      <c r="I119" s="11">
        <f t="shared" si="26"/>
        <v>1863.0720000000001</v>
      </c>
      <c r="J119" s="11">
        <f t="shared" si="27"/>
        <v>5589.215999999999</v>
      </c>
      <c r="K119" s="11">
        <f>60*6*2</f>
        <v>720</v>
      </c>
      <c r="L119" s="8">
        <f>144.73*3</f>
        <v>434.18999999999994</v>
      </c>
      <c r="M119" s="8"/>
      <c r="N119" s="8"/>
      <c r="O119" s="16">
        <f t="shared" si="17"/>
        <v>7115.900000000001</v>
      </c>
      <c r="P119" s="24">
        <f t="shared" si="28"/>
        <v>108565.466</v>
      </c>
      <c r="Q119" s="24">
        <f t="shared" si="34"/>
        <v>40702.948000000004</v>
      </c>
      <c r="R119" s="26">
        <f t="shared" si="18"/>
        <v>95482.43999999999</v>
      </c>
      <c r="S119" s="11"/>
      <c r="T119" s="11"/>
      <c r="U119" s="11"/>
      <c r="V119" s="11">
        <v>38160</v>
      </c>
      <c r="W119" s="11"/>
      <c r="X119" s="11"/>
      <c r="Y119" s="11"/>
      <c r="Z119" s="24">
        <f t="shared" si="29"/>
        <v>38160</v>
      </c>
      <c r="AA119" s="24">
        <f t="shared" si="19"/>
        <v>40056.047999999995</v>
      </c>
      <c r="AB119" s="24"/>
      <c r="AC119" s="24">
        <f t="shared" si="32"/>
        <v>15215.088</v>
      </c>
      <c r="AD119" s="26">
        <f t="shared" si="20"/>
        <v>7247.679999999999</v>
      </c>
      <c r="AE119" s="8"/>
      <c r="AF119" s="8"/>
      <c r="AG119" s="26"/>
      <c r="AH119" s="24">
        <f t="shared" si="21"/>
        <v>36640.416</v>
      </c>
      <c r="AI119" s="24"/>
      <c r="AJ119" s="24">
        <f t="shared" si="30"/>
        <v>382070.086</v>
      </c>
    </row>
    <row r="120" spans="1:36" ht="15.75">
      <c r="A120" s="3" t="s">
        <v>85</v>
      </c>
      <c r="B120" s="4" t="s">
        <v>88</v>
      </c>
      <c r="C120" s="3" t="s">
        <v>2</v>
      </c>
      <c r="D120" s="18">
        <v>3426.2</v>
      </c>
      <c r="E120" s="11">
        <f t="shared" si="22"/>
        <v>14801.183999999997</v>
      </c>
      <c r="F120" s="11">
        <f t="shared" si="23"/>
        <v>48926.13599999999</v>
      </c>
      <c r="G120" s="11">
        <f t="shared" si="24"/>
        <v>48514.992</v>
      </c>
      <c r="H120" s="11">
        <f t="shared" si="25"/>
        <v>10689.744</v>
      </c>
      <c r="I120" s="11">
        <f t="shared" si="26"/>
        <v>2466.8639999999996</v>
      </c>
      <c r="J120" s="11">
        <f t="shared" si="27"/>
        <v>7400.591999999999</v>
      </c>
      <c r="K120" s="11">
        <f>70*6*2</f>
        <v>840</v>
      </c>
      <c r="L120" s="8">
        <f>144.73*82</f>
        <v>11867.859999999999</v>
      </c>
      <c r="M120" s="8"/>
      <c r="N120" s="8"/>
      <c r="O120" s="16">
        <f t="shared" si="17"/>
        <v>9422.050000000001</v>
      </c>
      <c r="P120" s="24">
        <f t="shared" si="28"/>
        <v>154929.42199999996</v>
      </c>
      <c r="Q120" s="24">
        <f t="shared" si="34"/>
        <v>53894.126</v>
      </c>
      <c r="R120" s="26">
        <f t="shared" si="18"/>
        <v>126426.77999999998</v>
      </c>
      <c r="S120" s="11">
        <v>5180</v>
      </c>
      <c r="T120" s="11"/>
      <c r="U120" s="11">
        <v>18995</v>
      </c>
      <c r="V120" s="11"/>
      <c r="W120" s="11"/>
      <c r="X120" s="11"/>
      <c r="Y120" s="11">
        <v>244450</v>
      </c>
      <c r="Z120" s="24">
        <f>SUM(S120:Y120)</f>
        <v>268625</v>
      </c>
      <c r="AA120" s="24">
        <f t="shared" si="19"/>
        <v>53037.576</v>
      </c>
      <c r="AB120" s="24"/>
      <c r="AC120" s="24">
        <f t="shared" si="32"/>
        <v>20146.056</v>
      </c>
      <c r="AD120" s="26">
        <f t="shared" si="20"/>
        <v>9595.76</v>
      </c>
      <c r="AE120" s="8"/>
      <c r="AF120" s="8"/>
      <c r="AG120" s="26"/>
      <c r="AH120" s="24">
        <f t="shared" si="21"/>
        <v>48514.992</v>
      </c>
      <c r="AI120" s="24"/>
      <c r="AJ120" s="24">
        <f t="shared" si="30"/>
        <v>735169.7119999999</v>
      </c>
    </row>
    <row r="121" spans="1:36" ht="15.75">
      <c r="A121" s="3" t="s">
        <v>85</v>
      </c>
      <c r="B121" s="4" t="s">
        <v>71</v>
      </c>
      <c r="C121" s="3" t="s">
        <v>2</v>
      </c>
      <c r="D121" s="18">
        <v>2873.4</v>
      </c>
      <c r="E121" s="11">
        <f t="shared" si="22"/>
        <v>12413.088</v>
      </c>
      <c r="F121" s="11">
        <f t="shared" si="23"/>
        <v>41032.152</v>
      </c>
      <c r="G121" s="11">
        <f t="shared" si="24"/>
        <v>40687.344</v>
      </c>
      <c r="H121" s="11">
        <f t="shared" si="25"/>
        <v>8965.008000000002</v>
      </c>
      <c r="I121" s="11">
        <f t="shared" si="26"/>
        <v>2068.848</v>
      </c>
      <c r="J121" s="11">
        <f t="shared" si="27"/>
        <v>6206.544</v>
      </c>
      <c r="K121" s="11">
        <f>32*8*4+32*6*2</f>
        <v>1408</v>
      </c>
      <c r="L121" s="8">
        <f>144.73*3</f>
        <v>434.18999999999994</v>
      </c>
      <c r="M121" s="8"/>
      <c r="N121" s="8"/>
      <c r="O121" s="16">
        <f t="shared" si="17"/>
        <v>7901.85</v>
      </c>
      <c r="P121" s="24">
        <f t="shared" si="28"/>
        <v>121117.024</v>
      </c>
      <c r="Q121" s="24">
        <f t="shared" si="34"/>
        <v>45198.582</v>
      </c>
      <c r="R121" s="26">
        <f t="shared" si="18"/>
        <v>106028.46</v>
      </c>
      <c r="S121" s="11">
        <v>103910</v>
      </c>
      <c r="T121" s="11"/>
      <c r="U121" s="11">
        <v>21162</v>
      </c>
      <c r="V121" s="11">
        <v>63600</v>
      </c>
      <c r="W121" s="11"/>
      <c r="X121" s="11"/>
      <c r="Y121" s="11"/>
      <c r="Z121" s="24">
        <f t="shared" si="29"/>
        <v>188672</v>
      </c>
      <c r="AA121" s="24">
        <f t="shared" si="19"/>
        <v>44480.232</v>
      </c>
      <c r="AB121" s="24"/>
      <c r="AC121" s="24">
        <f t="shared" si="32"/>
        <v>16895.592</v>
      </c>
      <c r="AD121" s="26">
        <f t="shared" si="20"/>
        <v>8047.92</v>
      </c>
      <c r="AE121" s="8"/>
      <c r="AF121" s="8"/>
      <c r="AG121" s="26"/>
      <c r="AH121" s="24">
        <f t="shared" si="21"/>
        <v>40687.344</v>
      </c>
      <c r="AI121" s="24"/>
      <c r="AJ121" s="24">
        <f t="shared" si="30"/>
        <v>571127.1540000001</v>
      </c>
    </row>
    <row r="122" spans="1:36" ht="15.75">
      <c r="A122" s="3" t="s">
        <v>85</v>
      </c>
      <c r="B122" s="4" t="s">
        <v>16</v>
      </c>
      <c r="C122" s="3" t="s">
        <v>2</v>
      </c>
      <c r="D122" s="18">
        <v>3939.2</v>
      </c>
      <c r="E122" s="11">
        <f t="shared" si="22"/>
        <v>17017.343999999997</v>
      </c>
      <c r="F122" s="11">
        <f t="shared" si="23"/>
        <v>56251.77599999999</v>
      </c>
      <c r="G122" s="11">
        <f t="shared" si="24"/>
        <v>55779.07199999999</v>
      </c>
      <c r="H122" s="11">
        <f t="shared" si="25"/>
        <v>12290.304</v>
      </c>
      <c r="I122" s="11">
        <f t="shared" si="26"/>
        <v>2836.2239999999997</v>
      </c>
      <c r="J122" s="11">
        <f t="shared" si="27"/>
        <v>8508.671999999999</v>
      </c>
      <c r="K122" s="11">
        <f>70*6*2</f>
        <v>840</v>
      </c>
      <c r="L122" s="8">
        <f>144.73*86</f>
        <v>12446.779999999999</v>
      </c>
      <c r="M122" s="8"/>
      <c r="N122" s="8"/>
      <c r="O122" s="16">
        <f t="shared" si="17"/>
        <v>10832.8</v>
      </c>
      <c r="P122" s="24">
        <f t="shared" si="28"/>
        <v>176802.97199999995</v>
      </c>
      <c r="Q122" s="24">
        <f t="shared" si="34"/>
        <v>61963.616</v>
      </c>
      <c r="R122" s="26">
        <f t="shared" si="18"/>
        <v>145356.47999999998</v>
      </c>
      <c r="S122" s="11"/>
      <c r="T122" s="11">
        <f>200*135</f>
        <v>27000</v>
      </c>
      <c r="U122" s="11"/>
      <c r="V122" s="11"/>
      <c r="W122" s="11">
        <f>20*220</f>
        <v>4400</v>
      </c>
      <c r="X122" s="11">
        <v>94000</v>
      </c>
      <c r="Y122" s="11"/>
      <c r="Z122" s="24">
        <f t="shared" si="29"/>
        <v>125400</v>
      </c>
      <c r="AA122" s="24">
        <f t="shared" si="19"/>
        <v>60978.816000000006</v>
      </c>
      <c r="AB122" s="24"/>
      <c r="AC122" s="24">
        <f t="shared" si="32"/>
        <v>23162.496</v>
      </c>
      <c r="AD122" s="26">
        <f t="shared" si="20"/>
        <v>11032.16</v>
      </c>
      <c r="AE122" s="8"/>
      <c r="AF122" s="8"/>
      <c r="AG122" s="26"/>
      <c r="AH122" s="24">
        <f t="shared" si="21"/>
        <v>55779.07199999999</v>
      </c>
      <c r="AI122" s="24"/>
      <c r="AJ122" s="24">
        <f t="shared" si="30"/>
        <v>660475.6120000001</v>
      </c>
    </row>
    <row r="123" spans="1:36" ht="15.75">
      <c r="A123" s="3" t="s">
        <v>85</v>
      </c>
      <c r="B123" s="4" t="s">
        <v>89</v>
      </c>
      <c r="C123" s="3" t="s">
        <v>2</v>
      </c>
      <c r="D123" s="18">
        <v>3515.2</v>
      </c>
      <c r="E123" s="11">
        <f t="shared" si="22"/>
        <v>15185.664</v>
      </c>
      <c r="F123" s="11">
        <f t="shared" si="23"/>
        <v>50197.056</v>
      </c>
      <c r="G123" s="11">
        <f t="shared" si="24"/>
        <v>49775.231999999996</v>
      </c>
      <c r="H123" s="11">
        <f t="shared" si="25"/>
        <v>10967.423999999999</v>
      </c>
      <c r="I123" s="11">
        <f t="shared" si="26"/>
        <v>2530.9439999999995</v>
      </c>
      <c r="J123" s="11">
        <f t="shared" si="27"/>
        <v>7592.832</v>
      </c>
      <c r="K123" s="11">
        <f>80*6*2</f>
        <v>960</v>
      </c>
      <c r="L123" s="8">
        <f>144.73*90</f>
        <v>13025.699999999999</v>
      </c>
      <c r="M123" s="8"/>
      <c r="N123" s="8"/>
      <c r="O123" s="16">
        <f t="shared" si="17"/>
        <v>9666.800000000001</v>
      </c>
      <c r="P123" s="24">
        <f t="shared" si="28"/>
        <v>159901.652</v>
      </c>
      <c r="Q123" s="24">
        <f t="shared" si="34"/>
        <v>55294.096000000005</v>
      </c>
      <c r="R123" s="26">
        <f t="shared" si="18"/>
        <v>129710.87999999998</v>
      </c>
      <c r="S123" s="11"/>
      <c r="T123" s="11"/>
      <c r="U123" s="11"/>
      <c r="V123" s="11"/>
      <c r="W123" s="11"/>
      <c r="X123" s="11">
        <v>136500</v>
      </c>
      <c r="Y123" s="11"/>
      <c r="Z123" s="24">
        <f t="shared" si="29"/>
        <v>136500</v>
      </c>
      <c r="AA123" s="24">
        <f t="shared" si="19"/>
        <v>54415.296</v>
      </c>
      <c r="AB123" s="24"/>
      <c r="AC123" s="24">
        <f t="shared" si="32"/>
        <v>20669.375999999997</v>
      </c>
      <c r="AD123" s="26">
        <f t="shared" si="20"/>
        <v>9844.96</v>
      </c>
      <c r="AE123" s="8"/>
      <c r="AF123" s="8"/>
      <c r="AG123" s="26"/>
      <c r="AH123" s="24">
        <f t="shared" si="21"/>
        <v>49775.231999999996</v>
      </c>
      <c r="AI123" s="24"/>
      <c r="AJ123" s="24">
        <f t="shared" si="30"/>
        <v>616111.492</v>
      </c>
    </row>
    <row r="124" spans="1:36" ht="15.75">
      <c r="A124" s="3" t="s">
        <v>85</v>
      </c>
      <c r="B124" s="4" t="s">
        <v>44</v>
      </c>
      <c r="C124" s="3" t="s">
        <v>2</v>
      </c>
      <c r="D124" s="18">
        <v>3552.5</v>
      </c>
      <c r="E124" s="11">
        <f t="shared" si="22"/>
        <v>15346.8</v>
      </c>
      <c r="F124" s="11">
        <f t="shared" si="23"/>
        <v>50729.7</v>
      </c>
      <c r="G124" s="11">
        <f t="shared" si="24"/>
        <v>50303.399999999994</v>
      </c>
      <c r="H124" s="11">
        <f t="shared" si="25"/>
        <v>11083.8</v>
      </c>
      <c r="I124" s="11">
        <f t="shared" si="26"/>
        <v>2557.8</v>
      </c>
      <c r="J124" s="11">
        <f t="shared" si="27"/>
        <v>7673.4</v>
      </c>
      <c r="K124" s="11">
        <f>75*6*2</f>
        <v>900</v>
      </c>
      <c r="L124" s="8">
        <f>144.73*89</f>
        <v>12880.97</v>
      </c>
      <c r="M124" s="8"/>
      <c r="N124" s="8"/>
      <c r="O124" s="16">
        <f t="shared" si="17"/>
        <v>9769.375000000002</v>
      </c>
      <c r="P124" s="24">
        <f t="shared" si="28"/>
        <v>161245.245</v>
      </c>
      <c r="Q124" s="24">
        <f t="shared" si="34"/>
        <v>55880.825000000004</v>
      </c>
      <c r="R124" s="26">
        <f t="shared" si="18"/>
        <v>131087.25</v>
      </c>
      <c r="S124" s="11"/>
      <c r="T124" s="11"/>
      <c r="U124" s="11">
        <v>3930</v>
      </c>
      <c r="V124" s="11"/>
      <c r="W124" s="11"/>
      <c r="X124" s="11"/>
      <c r="Y124" s="11"/>
      <c r="Z124" s="24">
        <f t="shared" si="29"/>
        <v>3930</v>
      </c>
      <c r="AA124" s="24">
        <f t="shared" si="19"/>
        <v>54992.700000000004</v>
      </c>
      <c r="AB124" s="24"/>
      <c r="AC124" s="24">
        <f t="shared" si="32"/>
        <v>20888.699999999997</v>
      </c>
      <c r="AD124" s="26">
        <f t="shared" si="20"/>
        <v>9949.4</v>
      </c>
      <c r="AE124" s="8"/>
      <c r="AF124" s="8"/>
      <c r="AG124" s="26"/>
      <c r="AH124" s="24">
        <f t="shared" si="21"/>
        <v>50303.399999999994</v>
      </c>
      <c r="AI124" s="24">
        <v>57500</v>
      </c>
      <c r="AJ124" s="24">
        <f t="shared" si="30"/>
        <v>545777.52</v>
      </c>
    </row>
    <row r="125" spans="1:36" ht="15.75">
      <c r="A125" s="3" t="s">
        <v>85</v>
      </c>
      <c r="B125" s="4" t="s">
        <v>3</v>
      </c>
      <c r="C125" s="3" t="s">
        <v>2</v>
      </c>
      <c r="D125" s="19">
        <v>2863.5</v>
      </c>
      <c r="E125" s="11">
        <f t="shared" si="22"/>
        <v>12370.32</v>
      </c>
      <c r="F125" s="11">
        <f t="shared" si="23"/>
        <v>40890.78</v>
      </c>
      <c r="G125" s="11">
        <f t="shared" si="24"/>
        <v>40547.159999999996</v>
      </c>
      <c r="H125" s="11">
        <f t="shared" si="25"/>
        <v>8934.119999999999</v>
      </c>
      <c r="I125" s="11">
        <f t="shared" si="26"/>
        <v>2061.7200000000003</v>
      </c>
      <c r="J125" s="11">
        <f t="shared" si="27"/>
        <v>6185.16</v>
      </c>
      <c r="K125" s="11">
        <f>32*8*4+32*6*2</f>
        <v>1408</v>
      </c>
      <c r="L125" s="8">
        <f>144.73*3</f>
        <v>434.18999999999994</v>
      </c>
      <c r="M125" s="8"/>
      <c r="N125" s="8"/>
      <c r="O125" s="16">
        <f t="shared" si="17"/>
        <v>7874.625000000001</v>
      </c>
      <c r="P125" s="24">
        <f t="shared" si="28"/>
        <v>120706.075</v>
      </c>
      <c r="Q125" s="24">
        <f t="shared" si="34"/>
        <v>45042.854999999996</v>
      </c>
      <c r="R125" s="26">
        <f t="shared" si="18"/>
        <v>105663.15</v>
      </c>
      <c r="S125" s="11"/>
      <c r="T125" s="11"/>
      <c r="U125" s="11"/>
      <c r="V125" s="11"/>
      <c r="W125" s="11">
        <f>2.2*220</f>
        <v>484.00000000000006</v>
      </c>
      <c r="X125" s="11"/>
      <c r="Y125" s="11"/>
      <c r="Z125" s="24">
        <f t="shared" si="29"/>
        <v>484.00000000000006</v>
      </c>
      <c r="AA125" s="24">
        <f t="shared" si="19"/>
        <v>44326.979999999996</v>
      </c>
      <c r="AB125" s="24"/>
      <c r="AC125" s="24">
        <f t="shared" si="32"/>
        <v>16837.38</v>
      </c>
      <c r="AD125" s="26">
        <f t="shared" si="20"/>
        <v>8020.200000000001</v>
      </c>
      <c r="AE125" s="8"/>
      <c r="AF125" s="8"/>
      <c r="AG125" s="26"/>
      <c r="AH125" s="24">
        <f t="shared" si="21"/>
        <v>40547.159999999996</v>
      </c>
      <c r="AI125" s="24"/>
      <c r="AJ125" s="24">
        <f t="shared" si="30"/>
        <v>381627.79999999993</v>
      </c>
    </row>
    <row r="126" spans="1:36" ht="15.75">
      <c r="A126" s="5" t="s">
        <v>85</v>
      </c>
      <c r="B126" s="5" t="s">
        <v>64</v>
      </c>
      <c r="C126" s="6"/>
      <c r="D126" s="22">
        <v>4333.2</v>
      </c>
      <c r="E126" s="11">
        <f t="shared" si="22"/>
        <v>18719.424</v>
      </c>
      <c r="F126" s="11">
        <f t="shared" si="23"/>
        <v>61878.096</v>
      </c>
      <c r="G126" s="11">
        <f t="shared" si="24"/>
        <v>61358.111999999994</v>
      </c>
      <c r="H126" s="11">
        <f t="shared" si="25"/>
        <v>13519.584</v>
      </c>
      <c r="I126" s="11">
        <f t="shared" si="26"/>
        <v>3119.9039999999995</v>
      </c>
      <c r="J126" s="11">
        <f t="shared" si="27"/>
        <v>9359.712</v>
      </c>
      <c r="K126" s="11">
        <f>42*6*2</f>
        <v>504</v>
      </c>
      <c r="L126" s="8">
        <f>144.73*32</f>
        <v>4631.36</v>
      </c>
      <c r="M126" s="8"/>
      <c r="N126" s="8"/>
      <c r="O126" s="16">
        <f t="shared" si="17"/>
        <v>11916.300000000001</v>
      </c>
      <c r="P126" s="24">
        <f t="shared" si="28"/>
        <v>185006.49199999997</v>
      </c>
      <c r="Q126" s="24">
        <f t="shared" si="34"/>
        <v>68161.236</v>
      </c>
      <c r="R126" s="26">
        <f t="shared" si="18"/>
        <v>159895.08</v>
      </c>
      <c r="S126" s="11"/>
      <c r="T126" s="11"/>
      <c r="U126" s="11">
        <v>3900</v>
      </c>
      <c r="V126" s="11"/>
      <c r="W126" s="11"/>
      <c r="X126" s="11"/>
      <c r="Y126" s="11"/>
      <c r="Z126" s="24">
        <f t="shared" si="29"/>
        <v>3900</v>
      </c>
      <c r="AA126" s="24">
        <f t="shared" si="19"/>
        <v>67077.93599999999</v>
      </c>
      <c r="AB126" s="24"/>
      <c r="AC126" s="24">
        <f t="shared" si="32"/>
        <v>25479.216</v>
      </c>
      <c r="AD126" s="26">
        <f t="shared" si="20"/>
        <v>12135.359999999999</v>
      </c>
      <c r="AE126" s="8"/>
      <c r="AF126" s="8"/>
      <c r="AG126" s="26"/>
      <c r="AH126" s="24">
        <f t="shared" si="21"/>
        <v>61358.111999999994</v>
      </c>
      <c r="AI126" s="24"/>
      <c r="AJ126" s="24">
        <f t="shared" si="30"/>
        <v>583013.4319999999</v>
      </c>
    </row>
    <row r="127" spans="1:36" ht="15.75">
      <c r="A127" s="3" t="s">
        <v>85</v>
      </c>
      <c r="B127" s="4" t="s">
        <v>72</v>
      </c>
      <c r="C127" s="3" t="s">
        <v>2</v>
      </c>
      <c r="D127" s="18">
        <v>2718.6</v>
      </c>
      <c r="E127" s="11">
        <f t="shared" si="22"/>
        <v>11744.351999999999</v>
      </c>
      <c r="F127" s="11">
        <f t="shared" si="23"/>
        <v>38821.60799999999</v>
      </c>
      <c r="G127" s="11">
        <f t="shared" si="24"/>
        <v>38495.376</v>
      </c>
      <c r="H127" s="11">
        <f t="shared" si="25"/>
        <v>8482.032</v>
      </c>
      <c r="I127" s="11">
        <f t="shared" si="26"/>
        <v>1957.3919999999998</v>
      </c>
      <c r="J127" s="11">
        <f t="shared" si="27"/>
        <v>5872.1759999999995</v>
      </c>
      <c r="K127" s="11">
        <f>37*8*4+37*6*2</f>
        <v>1628</v>
      </c>
      <c r="L127" s="8">
        <f>144.73*3</f>
        <v>434.18999999999994</v>
      </c>
      <c r="M127" s="8"/>
      <c r="N127" s="8"/>
      <c r="O127" s="16">
        <f t="shared" si="17"/>
        <v>7476.15</v>
      </c>
      <c r="P127" s="24">
        <f t="shared" si="28"/>
        <v>114911.27599999998</v>
      </c>
      <c r="Q127" s="24">
        <f t="shared" si="34"/>
        <v>42763.578</v>
      </c>
      <c r="R127" s="26">
        <f t="shared" si="18"/>
        <v>100316.34</v>
      </c>
      <c r="S127" s="11"/>
      <c r="T127" s="11"/>
      <c r="U127" s="11">
        <v>953</v>
      </c>
      <c r="V127" s="11"/>
      <c r="W127" s="11"/>
      <c r="X127" s="11"/>
      <c r="Y127" s="11"/>
      <c r="Z127" s="24">
        <f t="shared" si="29"/>
        <v>953</v>
      </c>
      <c r="AA127" s="24">
        <f t="shared" si="19"/>
        <v>42083.928</v>
      </c>
      <c r="AB127" s="24"/>
      <c r="AC127" s="24">
        <f t="shared" si="32"/>
        <v>15985.368</v>
      </c>
      <c r="AD127" s="26">
        <f t="shared" si="20"/>
        <v>7614.48</v>
      </c>
      <c r="AE127" s="8"/>
      <c r="AF127" s="8"/>
      <c r="AG127" s="26"/>
      <c r="AH127" s="24">
        <f t="shared" si="21"/>
        <v>38495.376</v>
      </c>
      <c r="AI127" s="24"/>
      <c r="AJ127" s="24">
        <f t="shared" si="30"/>
        <v>363123.34599999996</v>
      </c>
    </row>
    <row r="128" spans="1:36" ht="15.75">
      <c r="A128" s="3" t="s">
        <v>85</v>
      </c>
      <c r="B128" s="4" t="s">
        <v>91</v>
      </c>
      <c r="C128" s="3" t="s">
        <v>2</v>
      </c>
      <c r="D128" s="18">
        <v>2156.3</v>
      </c>
      <c r="E128" s="11">
        <f t="shared" si="22"/>
        <v>9315.216</v>
      </c>
      <c r="F128" s="11">
        <f t="shared" si="23"/>
        <v>30791.964000000004</v>
      </c>
      <c r="G128" s="11">
        <f t="shared" si="24"/>
        <v>30533.208000000002</v>
      </c>
      <c r="H128" s="11">
        <f t="shared" si="25"/>
        <v>6727.656000000001</v>
      </c>
      <c r="I128" s="11">
        <f t="shared" si="26"/>
        <v>1552.536</v>
      </c>
      <c r="J128" s="11">
        <f t="shared" si="27"/>
        <v>4657.608</v>
      </c>
      <c r="K128" s="11">
        <f>36*8*4+36*6*2</f>
        <v>1584</v>
      </c>
      <c r="L128" s="8">
        <f>144.73*2</f>
        <v>289.46</v>
      </c>
      <c r="M128" s="8"/>
      <c r="N128" s="8"/>
      <c r="O128" s="16">
        <f t="shared" si="17"/>
        <v>5929.825000000001</v>
      </c>
      <c r="P128" s="24">
        <f t="shared" si="28"/>
        <v>91381.47300000003</v>
      </c>
      <c r="Q128" s="24">
        <f t="shared" si="34"/>
        <v>33918.599</v>
      </c>
      <c r="R128" s="26">
        <f t="shared" si="18"/>
        <v>79567.47</v>
      </c>
      <c r="S128" s="11"/>
      <c r="T128" s="11"/>
      <c r="U128" s="11"/>
      <c r="V128" s="11"/>
      <c r="W128" s="11"/>
      <c r="X128" s="11"/>
      <c r="Y128" s="11"/>
      <c r="Z128" s="24">
        <f t="shared" si="29"/>
        <v>0</v>
      </c>
      <c r="AA128" s="24">
        <f t="shared" si="19"/>
        <v>33379.524000000005</v>
      </c>
      <c r="AB128" s="24"/>
      <c r="AC128" s="24">
        <f t="shared" si="32"/>
        <v>12679.044</v>
      </c>
      <c r="AD128" s="26">
        <f t="shared" si="20"/>
        <v>6040.04</v>
      </c>
      <c r="AE128" s="8"/>
      <c r="AF128" s="8"/>
      <c r="AG128" s="26"/>
      <c r="AH128" s="24">
        <f t="shared" si="21"/>
        <v>30533.208000000002</v>
      </c>
      <c r="AI128" s="24"/>
      <c r="AJ128" s="24">
        <f t="shared" si="30"/>
        <v>287499.358</v>
      </c>
    </row>
    <row r="129" spans="1:36" ht="15.75">
      <c r="A129" s="3" t="s">
        <v>85</v>
      </c>
      <c r="B129" s="4" t="s">
        <v>92</v>
      </c>
      <c r="C129" s="3" t="s">
        <v>2</v>
      </c>
      <c r="D129" s="18">
        <v>3204</v>
      </c>
      <c r="E129" s="11">
        <f t="shared" si="22"/>
        <v>13841.28</v>
      </c>
      <c r="F129" s="11">
        <f t="shared" si="23"/>
        <v>45753.119999999995</v>
      </c>
      <c r="G129" s="11">
        <f t="shared" si="24"/>
        <v>45368.64</v>
      </c>
      <c r="H129" s="11">
        <f t="shared" si="25"/>
        <v>9996.480000000001</v>
      </c>
      <c r="I129" s="11">
        <f t="shared" si="26"/>
        <v>2306.8799999999997</v>
      </c>
      <c r="J129" s="11">
        <f t="shared" si="27"/>
        <v>6920.64</v>
      </c>
      <c r="K129" s="11">
        <f>45*8*4+45*6*2</f>
        <v>1980</v>
      </c>
      <c r="L129" s="8">
        <f aca="true" t="shared" si="35" ref="L129:L134">144.73*3</f>
        <v>434.18999999999994</v>
      </c>
      <c r="M129" s="8"/>
      <c r="N129" s="8"/>
      <c r="O129" s="16">
        <f t="shared" si="17"/>
        <v>8811</v>
      </c>
      <c r="P129" s="24">
        <f t="shared" si="28"/>
        <v>135412.22999999998</v>
      </c>
      <c r="Q129" s="24">
        <f t="shared" si="34"/>
        <v>50398.920000000006</v>
      </c>
      <c r="R129" s="26">
        <f t="shared" si="18"/>
        <v>118227.6</v>
      </c>
      <c r="S129" s="11">
        <v>245145</v>
      </c>
      <c r="T129" s="11"/>
      <c r="U129" s="11">
        <v>94118</v>
      </c>
      <c r="V129" s="11">
        <v>66150</v>
      </c>
      <c r="W129" s="11">
        <f>7*220</f>
        <v>1540</v>
      </c>
      <c r="X129" s="11"/>
      <c r="Y129" s="11"/>
      <c r="Z129" s="24">
        <f t="shared" si="29"/>
        <v>406953</v>
      </c>
      <c r="AA129" s="24">
        <f t="shared" si="19"/>
        <v>49597.92</v>
      </c>
      <c r="AB129" s="24"/>
      <c r="AC129" s="24">
        <f t="shared" si="32"/>
        <v>18839.52</v>
      </c>
      <c r="AD129" s="26">
        <f t="shared" si="20"/>
        <v>8973.6</v>
      </c>
      <c r="AE129" s="8"/>
      <c r="AF129" s="8"/>
      <c r="AG129" s="26"/>
      <c r="AH129" s="24">
        <f t="shared" si="21"/>
        <v>45368.64</v>
      </c>
      <c r="AI129" s="24"/>
      <c r="AJ129" s="24">
        <f t="shared" si="30"/>
        <v>833771.43</v>
      </c>
    </row>
    <row r="130" spans="1:36" ht="15.75">
      <c r="A130" s="3" t="s">
        <v>93</v>
      </c>
      <c r="B130" s="4" t="s">
        <v>70</v>
      </c>
      <c r="C130" s="3" t="s">
        <v>2</v>
      </c>
      <c r="D130" s="21">
        <v>909.3</v>
      </c>
      <c r="E130" s="11">
        <f t="shared" si="22"/>
        <v>3928.1759999999995</v>
      </c>
      <c r="F130" s="11">
        <f t="shared" si="23"/>
        <v>12984.804</v>
      </c>
      <c r="G130" s="11">
        <f t="shared" si="24"/>
        <v>12875.687999999998</v>
      </c>
      <c r="H130" s="11">
        <f t="shared" si="25"/>
        <v>2837.016</v>
      </c>
      <c r="I130" s="11">
        <f t="shared" si="26"/>
        <v>654.6959999999999</v>
      </c>
      <c r="J130" s="11">
        <f t="shared" si="27"/>
        <v>1964.0879999999997</v>
      </c>
      <c r="K130" s="11">
        <f>13*6*2</f>
        <v>156</v>
      </c>
      <c r="L130" s="8">
        <f t="shared" si="35"/>
        <v>434.18999999999994</v>
      </c>
      <c r="M130" s="8"/>
      <c r="N130" s="8"/>
      <c r="O130" s="16">
        <f t="shared" si="17"/>
        <v>2500.575</v>
      </c>
      <c r="P130" s="24">
        <f t="shared" si="28"/>
        <v>38335.23299999999</v>
      </c>
      <c r="Q130" s="24"/>
      <c r="R130" s="26">
        <f t="shared" si="18"/>
        <v>33553.17</v>
      </c>
      <c r="S130" s="11"/>
      <c r="T130" s="11"/>
      <c r="U130" s="11">
        <v>9654</v>
      </c>
      <c r="V130" s="11"/>
      <c r="W130" s="11"/>
      <c r="X130" s="11"/>
      <c r="Y130" s="11"/>
      <c r="Z130" s="24">
        <f t="shared" si="29"/>
        <v>9654</v>
      </c>
      <c r="AA130" s="24">
        <f t="shared" si="19"/>
        <v>14075.964</v>
      </c>
      <c r="AB130" s="24"/>
      <c r="AC130" s="24">
        <f t="shared" si="32"/>
        <v>5346.683999999999</v>
      </c>
      <c r="AD130" s="26">
        <f t="shared" si="20"/>
        <v>2548.44</v>
      </c>
      <c r="AE130" s="8"/>
      <c r="AF130" s="8"/>
      <c r="AG130" s="26"/>
      <c r="AH130" s="24">
        <f t="shared" si="21"/>
        <v>12875.687999999998</v>
      </c>
      <c r="AI130" s="24">
        <v>57500</v>
      </c>
      <c r="AJ130" s="24">
        <f t="shared" si="30"/>
        <v>173889.179</v>
      </c>
    </row>
    <row r="131" spans="1:36" ht="15.75">
      <c r="A131" s="3" t="s">
        <v>93</v>
      </c>
      <c r="B131" s="4" t="s">
        <v>44</v>
      </c>
      <c r="C131" s="3" t="s">
        <v>2</v>
      </c>
      <c r="D131" s="18">
        <v>2792.7</v>
      </c>
      <c r="E131" s="11">
        <f t="shared" si="22"/>
        <v>12064.463999999998</v>
      </c>
      <c r="F131" s="11">
        <f t="shared" si="23"/>
        <v>39879.755999999994</v>
      </c>
      <c r="G131" s="11">
        <f t="shared" si="24"/>
        <v>39544.632</v>
      </c>
      <c r="H131" s="11">
        <f t="shared" si="25"/>
        <v>8713.224</v>
      </c>
      <c r="I131" s="11">
        <f t="shared" si="26"/>
        <v>2010.7439999999997</v>
      </c>
      <c r="J131" s="11">
        <f t="shared" si="27"/>
        <v>6032.231999999999</v>
      </c>
      <c r="K131" s="11">
        <f>56*8*4+56*6*2</f>
        <v>2464</v>
      </c>
      <c r="L131" s="8">
        <f t="shared" si="35"/>
        <v>434.18999999999994</v>
      </c>
      <c r="M131" s="8"/>
      <c r="N131" s="8"/>
      <c r="O131" s="16">
        <f aca="true" t="shared" si="36" ref="O131:O194">D131*0.55*5</f>
        <v>7679.925000000001</v>
      </c>
      <c r="P131" s="24">
        <f t="shared" si="28"/>
        <v>118823.167</v>
      </c>
      <c r="Q131" s="24">
        <f>D131*1.27*5+D131*1.34*7</f>
        <v>43929.171</v>
      </c>
      <c r="R131" s="26">
        <f aca="true" t="shared" si="37" ref="R131:R194">D131*3.18*5+D131*3*7</f>
        <v>103050.62999999999</v>
      </c>
      <c r="S131" s="11">
        <v>47321</v>
      </c>
      <c r="T131" s="11"/>
      <c r="U131" s="11"/>
      <c r="V131" s="11"/>
      <c r="W131" s="11"/>
      <c r="X131" s="11"/>
      <c r="Y131" s="11"/>
      <c r="Z131" s="24">
        <f t="shared" si="29"/>
        <v>47321</v>
      </c>
      <c r="AA131" s="24">
        <f aca="true" t="shared" si="38" ref="AA131:AA194">D131*1.29*12</f>
        <v>43230.996</v>
      </c>
      <c r="AB131" s="24"/>
      <c r="AC131" s="24">
        <f t="shared" si="32"/>
        <v>16421.075999999997</v>
      </c>
      <c r="AD131" s="26">
        <f aca="true" t="shared" si="39" ref="AD131:AD194">D131*0.4*7+0.48*5</f>
        <v>7821.959999999999</v>
      </c>
      <c r="AE131" s="8"/>
      <c r="AF131" s="8"/>
      <c r="AG131" s="26"/>
      <c r="AH131" s="24">
        <f aca="true" t="shared" si="40" ref="AH131:AH194">D131*1.18*12</f>
        <v>39544.632</v>
      </c>
      <c r="AI131" s="24">
        <v>57500</v>
      </c>
      <c r="AJ131" s="24">
        <f t="shared" si="30"/>
        <v>477642.632</v>
      </c>
    </row>
    <row r="132" spans="1:36" ht="15.75">
      <c r="A132" s="3" t="s">
        <v>93</v>
      </c>
      <c r="B132" s="4" t="s">
        <v>94</v>
      </c>
      <c r="C132" s="3" t="s">
        <v>2</v>
      </c>
      <c r="D132" s="18">
        <v>3245.1</v>
      </c>
      <c r="E132" s="11">
        <f aca="true" t="shared" si="41" ref="E132:E195">D132*0.36*12</f>
        <v>14018.831999999999</v>
      </c>
      <c r="F132" s="11">
        <f aca="true" t="shared" si="42" ref="F132:F195">D132*1.19*12</f>
        <v>46340.028</v>
      </c>
      <c r="G132" s="11">
        <f aca="true" t="shared" si="43" ref="G132:G195">D132*1.18*12</f>
        <v>45950.615999999995</v>
      </c>
      <c r="H132" s="11">
        <f aca="true" t="shared" si="44" ref="H132:H195">D132*0.26*12</f>
        <v>10124.712</v>
      </c>
      <c r="I132" s="11">
        <f aca="true" t="shared" si="45" ref="I132:I195">D132*0.06*12</f>
        <v>2336.4719999999998</v>
      </c>
      <c r="J132" s="11">
        <f aca="true" t="shared" si="46" ref="J132:J195">D132*0.18*12</f>
        <v>7009.415999999999</v>
      </c>
      <c r="K132" s="11">
        <f>80*8*4+80*6*2</f>
        <v>3520</v>
      </c>
      <c r="L132" s="8">
        <f t="shared" si="35"/>
        <v>434.18999999999994</v>
      </c>
      <c r="M132" s="8"/>
      <c r="N132" s="8"/>
      <c r="O132" s="16">
        <f t="shared" si="36"/>
        <v>8924.025</v>
      </c>
      <c r="P132" s="24">
        <f aca="true" t="shared" si="47" ref="P132:P195">SUM(E132:O132)</f>
        <v>138658.291</v>
      </c>
      <c r="Q132" s="24">
        <f>D132*1.27*5+D132*1.34*7</f>
        <v>51045.423</v>
      </c>
      <c r="R132" s="26">
        <f t="shared" si="37"/>
        <v>119744.18999999999</v>
      </c>
      <c r="S132" s="11"/>
      <c r="T132" s="11"/>
      <c r="U132" s="11"/>
      <c r="V132" s="11"/>
      <c r="W132" s="11"/>
      <c r="X132" s="11"/>
      <c r="Y132" s="11"/>
      <c r="Z132" s="24">
        <f aca="true" t="shared" si="48" ref="Z132:Z195">SUM(S132:X132)</f>
        <v>0</v>
      </c>
      <c r="AA132" s="24">
        <f t="shared" si="38"/>
        <v>50234.148</v>
      </c>
      <c r="AB132" s="24"/>
      <c r="AC132" s="24">
        <f t="shared" si="32"/>
        <v>19081.188</v>
      </c>
      <c r="AD132" s="26">
        <f t="shared" si="39"/>
        <v>9088.679999999998</v>
      </c>
      <c r="AE132" s="8"/>
      <c r="AF132" s="8"/>
      <c r="AG132" s="26"/>
      <c r="AH132" s="24">
        <f t="shared" si="40"/>
        <v>45950.615999999995</v>
      </c>
      <c r="AI132" s="24">
        <v>57500</v>
      </c>
      <c r="AJ132" s="24">
        <f aca="true" t="shared" si="49" ref="AJ132:AJ195">P132+Q132+R132+Z132+AA132+AB132+AC132+AD132+AG132+AH132+AI132</f>
        <v>491302.53599999996</v>
      </c>
    </row>
    <row r="133" spans="1:36" ht="15.75">
      <c r="A133" s="3" t="s">
        <v>93</v>
      </c>
      <c r="B133" s="4" t="s">
        <v>95</v>
      </c>
      <c r="C133" s="3" t="s">
        <v>2</v>
      </c>
      <c r="D133" s="18">
        <v>1555.8</v>
      </c>
      <c r="E133" s="11">
        <f t="shared" si="41"/>
        <v>6721.056</v>
      </c>
      <c r="F133" s="11">
        <f t="shared" si="42"/>
        <v>22216.823999999997</v>
      </c>
      <c r="G133" s="11">
        <f t="shared" si="43"/>
        <v>22030.127999999997</v>
      </c>
      <c r="H133" s="11">
        <f t="shared" si="44"/>
        <v>4854.096</v>
      </c>
      <c r="I133" s="11">
        <f t="shared" si="45"/>
        <v>1120.176</v>
      </c>
      <c r="J133" s="11">
        <f t="shared" si="46"/>
        <v>3360.528</v>
      </c>
      <c r="K133" s="11">
        <f>39*8*4+39*6*2</f>
        <v>1716</v>
      </c>
      <c r="L133" s="8">
        <f t="shared" si="35"/>
        <v>434.18999999999994</v>
      </c>
      <c r="M133" s="8"/>
      <c r="N133" s="8"/>
      <c r="O133" s="16">
        <f t="shared" si="36"/>
        <v>4278.450000000001</v>
      </c>
      <c r="P133" s="24">
        <f t="shared" si="47"/>
        <v>66731.44799999999</v>
      </c>
      <c r="Q133" s="24">
        <f>D133*1.27*5+D133*1.34*7</f>
        <v>24472.733999999997</v>
      </c>
      <c r="R133" s="26">
        <f t="shared" si="37"/>
        <v>57409.02</v>
      </c>
      <c r="S133" s="11"/>
      <c r="T133" s="11"/>
      <c r="U133" s="11"/>
      <c r="V133" s="11"/>
      <c r="W133" s="11"/>
      <c r="X133" s="11"/>
      <c r="Y133" s="11"/>
      <c r="Z133" s="24">
        <f t="shared" si="48"/>
        <v>0</v>
      </c>
      <c r="AA133" s="24">
        <f t="shared" si="38"/>
        <v>24083.784</v>
      </c>
      <c r="AB133" s="24"/>
      <c r="AC133" s="24">
        <f t="shared" si="32"/>
        <v>9148.104</v>
      </c>
      <c r="AD133" s="26">
        <f t="shared" si="39"/>
        <v>4358.64</v>
      </c>
      <c r="AE133" s="8"/>
      <c r="AF133" s="8"/>
      <c r="AG133" s="26"/>
      <c r="AH133" s="24">
        <f t="shared" si="40"/>
        <v>22030.127999999997</v>
      </c>
      <c r="AI133" s="24">
        <v>57500</v>
      </c>
      <c r="AJ133" s="24">
        <f t="shared" si="49"/>
        <v>265733.858</v>
      </c>
    </row>
    <row r="134" spans="1:36" ht="15.75">
      <c r="A134" s="3" t="s">
        <v>93</v>
      </c>
      <c r="B134" s="4" t="s">
        <v>72</v>
      </c>
      <c r="C134" s="3" t="s">
        <v>2</v>
      </c>
      <c r="D134" s="18">
        <v>1304.4</v>
      </c>
      <c r="E134" s="11">
        <f t="shared" si="41"/>
        <v>5635.008</v>
      </c>
      <c r="F134" s="11">
        <f t="shared" si="42"/>
        <v>18626.832000000002</v>
      </c>
      <c r="G134" s="11">
        <f t="shared" si="43"/>
        <v>18470.304</v>
      </c>
      <c r="H134" s="11">
        <f t="shared" si="44"/>
        <v>4069.728000000001</v>
      </c>
      <c r="I134" s="11">
        <f t="shared" si="45"/>
        <v>939.1679999999999</v>
      </c>
      <c r="J134" s="11">
        <f t="shared" si="46"/>
        <v>2817.504</v>
      </c>
      <c r="K134" s="11">
        <f>27*8*4+27*6*2</f>
        <v>1188</v>
      </c>
      <c r="L134" s="8">
        <f t="shared" si="35"/>
        <v>434.18999999999994</v>
      </c>
      <c r="M134" s="8"/>
      <c r="N134" s="8">
        <f>875*20.77</f>
        <v>18173.75</v>
      </c>
      <c r="O134" s="16">
        <f t="shared" si="36"/>
        <v>3587.1000000000004</v>
      </c>
      <c r="P134" s="24">
        <f t="shared" si="47"/>
        <v>73941.584</v>
      </c>
      <c r="Q134" s="24"/>
      <c r="R134" s="26">
        <f t="shared" si="37"/>
        <v>48132.36</v>
      </c>
      <c r="S134" s="11"/>
      <c r="T134" s="11"/>
      <c r="U134" s="11">
        <v>1572</v>
      </c>
      <c r="V134" s="11"/>
      <c r="W134" s="11">
        <f>4.4*220</f>
        <v>968.0000000000001</v>
      </c>
      <c r="X134" s="11"/>
      <c r="Y134" s="11"/>
      <c r="Z134" s="24">
        <f t="shared" si="48"/>
        <v>2540</v>
      </c>
      <c r="AA134" s="24">
        <f t="shared" si="38"/>
        <v>20192.112</v>
      </c>
      <c r="AB134" s="24"/>
      <c r="AC134" s="24">
        <f t="shared" si="32"/>
        <v>7669.872000000001</v>
      </c>
      <c r="AD134" s="26">
        <f t="shared" si="39"/>
        <v>3654.7200000000007</v>
      </c>
      <c r="AE134" s="8"/>
      <c r="AF134" s="8"/>
      <c r="AG134" s="26"/>
      <c r="AH134" s="24">
        <f t="shared" si="40"/>
        <v>18470.304</v>
      </c>
      <c r="AI134" s="24">
        <v>57500</v>
      </c>
      <c r="AJ134" s="24">
        <f t="shared" si="49"/>
        <v>232100.95200000002</v>
      </c>
    </row>
    <row r="135" spans="1:36" ht="15.75">
      <c r="A135" s="5" t="s">
        <v>96</v>
      </c>
      <c r="B135" s="5" t="s">
        <v>79</v>
      </c>
      <c r="C135" s="6"/>
      <c r="D135" s="21">
        <v>152.68</v>
      </c>
      <c r="E135" s="11">
        <f t="shared" si="41"/>
        <v>659.5776000000001</v>
      </c>
      <c r="F135" s="11">
        <f t="shared" si="42"/>
        <v>2180.2704</v>
      </c>
      <c r="G135" s="11">
        <f t="shared" si="43"/>
        <v>2161.9488</v>
      </c>
      <c r="H135" s="11">
        <f t="shared" si="44"/>
        <v>476.36160000000007</v>
      </c>
      <c r="I135" s="11">
        <f t="shared" si="45"/>
        <v>109.9296</v>
      </c>
      <c r="J135" s="11">
        <f t="shared" si="46"/>
        <v>329.78880000000004</v>
      </c>
      <c r="K135" s="11">
        <f>2*230</f>
        <v>460</v>
      </c>
      <c r="L135" s="8"/>
      <c r="M135" s="8"/>
      <c r="N135" s="8"/>
      <c r="O135" s="16">
        <f t="shared" si="36"/>
        <v>419.87</v>
      </c>
      <c r="P135" s="24">
        <f t="shared" si="47"/>
        <v>6797.746800000001</v>
      </c>
      <c r="Q135" s="24"/>
      <c r="R135" s="26">
        <f t="shared" si="37"/>
        <v>5633.892</v>
      </c>
      <c r="S135" s="11"/>
      <c r="T135" s="11"/>
      <c r="U135" s="11"/>
      <c r="V135" s="11"/>
      <c r="W135" s="11"/>
      <c r="X135" s="11"/>
      <c r="Y135" s="11"/>
      <c r="Z135" s="24">
        <f t="shared" si="48"/>
        <v>0</v>
      </c>
      <c r="AA135" s="24">
        <f t="shared" si="38"/>
        <v>2363.4864</v>
      </c>
      <c r="AB135" s="24"/>
      <c r="AC135" s="24">
        <f t="shared" si="32"/>
        <v>897.7584000000002</v>
      </c>
      <c r="AD135" s="26">
        <f t="shared" si="39"/>
        <v>429.904</v>
      </c>
      <c r="AE135" s="8"/>
      <c r="AF135" s="8"/>
      <c r="AG135" s="26"/>
      <c r="AH135" s="24">
        <f t="shared" si="40"/>
        <v>2161.9488</v>
      </c>
      <c r="AI135" s="24"/>
      <c r="AJ135" s="24">
        <f t="shared" si="49"/>
        <v>18284.7364</v>
      </c>
    </row>
    <row r="136" spans="1:36" ht="15.75">
      <c r="A136" s="5" t="s">
        <v>97</v>
      </c>
      <c r="B136" s="5" t="s">
        <v>39</v>
      </c>
      <c r="C136" s="6"/>
      <c r="D136" s="21">
        <v>255.2</v>
      </c>
      <c r="E136" s="11">
        <f t="shared" si="41"/>
        <v>1102.464</v>
      </c>
      <c r="F136" s="11">
        <f t="shared" si="42"/>
        <v>3644.256</v>
      </c>
      <c r="G136" s="11">
        <f t="shared" si="43"/>
        <v>3613.6319999999996</v>
      </c>
      <c r="H136" s="11">
        <f t="shared" si="44"/>
        <v>796.224</v>
      </c>
      <c r="I136" s="11">
        <f t="shared" si="45"/>
        <v>183.744</v>
      </c>
      <c r="J136" s="11">
        <f t="shared" si="46"/>
        <v>551.232</v>
      </c>
      <c r="K136" s="11">
        <f>4*230</f>
        <v>920</v>
      </c>
      <c r="L136" s="8"/>
      <c r="M136" s="8"/>
      <c r="N136" s="8"/>
      <c r="O136" s="16">
        <f t="shared" si="36"/>
        <v>701.8000000000001</v>
      </c>
      <c r="P136" s="24">
        <f t="shared" si="47"/>
        <v>11513.351999999999</v>
      </c>
      <c r="Q136" s="24"/>
      <c r="R136" s="26">
        <f t="shared" si="37"/>
        <v>9416.88</v>
      </c>
      <c r="S136" s="11"/>
      <c r="T136" s="11"/>
      <c r="U136" s="11"/>
      <c r="V136" s="11"/>
      <c r="W136" s="11"/>
      <c r="X136" s="11"/>
      <c r="Y136" s="11"/>
      <c r="Z136" s="24">
        <f t="shared" si="48"/>
        <v>0</v>
      </c>
      <c r="AA136" s="24">
        <f t="shared" si="38"/>
        <v>3950.4959999999996</v>
      </c>
      <c r="AB136" s="24"/>
      <c r="AC136" s="24">
        <f t="shared" si="32"/>
        <v>1500.5759999999998</v>
      </c>
      <c r="AD136" s="26">
        <f t="shared" si="39"/>
        <v>716.9599999999999</v>
      </c>
      <c r="AE136" s="8"/>
      <c r="AF136" s="8"/>
      <c r="AG136" s="26"/>
      <c r="AH136" s="24">
        <f t="shared" si="40"/>
        <v>3613.6319999999996</v>
      </c>
      <c r="AI136" s="24"/>
      <c r="AJ136" s="24">
        <f t="shared" si="49"/>
        <v>30711.895999999993</v>
      </c>
    </row>
    <row r="137" spans="1:36" ht="15.75">
      <c r="A137" s="3" t="s">
        <v>98</v>
      </c>
      <c r="B137" s="4" t="s">
        <v>3</v>
      </c>
      <c r="C137" s="3" t="s">
        <v>2</v>
      </c>
      <c r="D137" s="21">
        <v>411.6</v>
      </c>
      <c r="E137" s="11">
        <f t="shared" si="41"/>
        <v>1778.112</v>
      </c>
      <c r="F137" s="11">
        <f t="shared" si="42"/>
        <v>5877.648</v>
      </c>
      <c r="G137" s="11">
        <f t="shared" si="43"/>
        <v>5828.255999999999</v>
      </c>
      <c r="H137" s="11">
        <f t="shared" si="44"/>
        <v>1284.192</v>
      </c>
      <c r="I137" s="11">
        <f t="shared" si="45"/>
        <v>296.35200000000003</v>
      </c>
      <c r="J137" s="11">
        <f t="shared" si="46"/>
        <v>889.056</v>
      </c>
      <c r="K137" s="11">
        <f>2*230</f>
        <v>460</v>
      </c>
      <c r="L137" s="8"/>
      <c r="M137" s="8"/>
      <c r="N137" s="8"/>
      <c r="O137" s="16">
        <f t="shared" si="36"/>
        <v>1131.9</v>
      </c>
      <c r="P137" s="24">
        <f t="shared" si="47"/>
        <v>17545.516000000003</v>
      </c>
      <c r="Q137" s="24"/>
      <c r="R137" s="26">
        <f t="shared" si="37"/>
        <v>15188.040000000003</v>
      </c>
      <c r="S137" s="11"/>
      <c r="T137" s="11"/>
      <c r="U137" s="11"/>
      <c r="V137" s="11"/>
      <c r="W137" s="11"/>
      <c r="X137" s="11"/>
      <c r="Y137" s="11"/>
      <c r="Z137" s="24">
        <f t="shared" si="48"/>
        <v>0</v>
      </c>
      <c r="AA137" s="24">
        <f t="shared" si="38"/>
        <v>6371.568000000001</v>
      </c>
      <c r="AB137" s="24"/>
      <c r="AC137" s="24">
        <f t="shared" si="32"/>
        <v>2420.208</v>
      </c>
      <c r="AD137" s="26">
        <f t="shared" si="39"/>
        <v>1154.88</v>
      </c>
      <c r="AE137" s="8"/>
      <c r="AF137" s="8"/>
      <c r="AG137" s="26"/>
      <c r="AH137" s="24">
        <f t="shared" si="40"/>
        <v>5828.255999999999</v>
      </c>
      <c r="AI137" s="24"/>
      <c r="AJ137" s="24">
        <f t="shared" si="49"/>
        <v>48508.468</v>
      </c>
    </row>
    <row r="138" spans="1:36" ht="15.75">
      <c r="A138" s="3" t="s">
        <v>99</v>
      </c>
      <c r="B138" s="4" t="s">
        <v>34</v>
      </c>
      <c r="C138" s="3" t="s">
        <v>2</v>
      </c>
      <c r="D138" s="18">
        <v>404.8</v>
      </c>
      <c r="E138" s="11">
        <f t="shared" si="41"/>
        <v>1748.736</v>
      </c>
      <c r="F138" s="11">
        <f t="shared" si="42"/>
        <v>5780.544</v>
      </c>
      <c r="G138" s="11">
        <f t="shared" si="43"/>
        <v>5731.968</v>
      </c>
      <c r="H138" s="11">
        <f t="shared" si="44"/>
        <v>1262.976</v>
      </c>
      <c r="I138" s="11">
        <f t="shared" si="45"/>
        <v>291.456</v>
      </c>
      <c r="J138" s="11">
        <f t="shared" si="46"/>
        <v>874.368</v>
      </c>
      <c r="K138" s="11">
        <f>8*8*4+8*6*2</f>
        <v>352</v>
      </c>
      <c r="L138" s="8">
        <f>144.73*2</f>
        <v>289.46</v>
      </c>
      <c r="M138" s="8"/>
      <c r="N138" s="8"/>
      <c r="O138" s="16">
        <f t="shared" si="36"/>
        <v>1113.2</v>
      </c>
      <c r="P138" s="24">
        <f t="shared" si="47"/>
        <v>17444.708</v>
      </c>
      <c r="Q138" s="24"/>
      <c r="R138" s="26">
        <f t="shared" si="37"/>
        <v>14937.120000000003</v>
      </c>
      <c r="S138" s="11"/>
      <c r="T138" s="11"/>
      <c r="U138" s="11">
        <v>7963</v>
      </c>
      <c r="V138" s="11"/>
      <c r="W138" s="11"/>
      <c r="X138" s="11"/>
      <c r="Y138" s="11"/>
      <c r="Z138" s="24">
        <f t="shared" si="48"/>
        <v>7963</v>
      </c>
      <c r="AA138" s="24">
        <f t="shared" si="38"/>
        <v>6266.304</v>
      </c>
      <c r="AB138" s="24"/>
      <c r="AC138" s="24">
        <f t="shared" si="32"/>
        <v>2380.224</v>
      </c>
      <c r="AD138" s="26">
        <f t="shared" si="39"/>
        <v>1135.8400000000001</v>
      </c>
      <c r="AE138" s="8"/>
      <c r="AF138" s="8"/>
      <c r="AG138" s="26"/>
      <c r="AH138" s="24">
        <f t="shared" si="40"/>
        <v>5731.968</v>
      </c>
      <c r="AI138" s="24">
        <v>57500</v>
      </c>
      <c r="AJ138" s="24">
        <f t="shared" si="49"/>
        <v>113359.16399999999</v>
      </c>
    </row>
    <row r="139" spans="1:36" ht="15.75">
      <c r="A139" s="3" t="s">
        <v>99</v>
      </c>
      <c r="B139" s="4" t="s">
        <v>100</v>
      </c>
      <c r="C139" s="3" t="s">
        <v>2</v>
      </c>
      <c r="D139" s="18">
        <v>396.4</v>
      </c>
      <c r="E139" s="11">
        <f t="shared" si="41"/>
        <v>1712.4479999999999</v>
      </c>
      <c r="F139" s="11">
        <f t="shared" si="42"/>
        <v>5660.592</v>
      </c>
      <c r="G139" s="11">
        <f t="shared" si="43"/>
        <v>5613.023999999999</v>
      </c>
      <c r="H139" s="11">
        <f t="shared" si="44"/>
        <v>1236.768</v>
      </c>
      <c r="I139" s="11">
        <f t="shared" si="45"/>
        <v>285.408</v>
      </c>
      <c r="J139" s="11">
        <f t="shared" si="46"/>
        <v>856.2239999999999</v>
      </c>
      <c r="K139" s="11">
        <f>8*8*4+8*6*2</f>
        <v>352</v>
      </c>
      <c r="L139" s="8">
        <f>144.73*3</f>
        <v>434.18999999999994</v>
      </c>
      <c r="M139" s="8"/>
      <c r="N139" s="8"/>
      <c r="O139" s="16">
        <f t="shared" si="36"/>
        <v>1090.1000000000001</v>
      </c>
      <c r="P139" s="24">
        <f t="shared" si="47"/>
        <v>17240.753999999997</v>
      </c>
      <c r="Q139" s="24"/>
      <c r="R139" s="26">
        <f t="shared" si="37"/>
        <v>14627.159999999996</v>
      </c>
      <c r="S139" s="11"/>
      <c r="T139" s="11"/>
      <c r="U139" s="11"/>
      <c r="V139" s="11"/>
      <c r="W139" s="11"/>
      <c r="X139" s="11"/>
      <c r="Y139" s="11"/>
      <c r="Z139" s="24">
        <f t="shared" si="48"/>
        <v>0</v>
      </c>
      <c r="AA139" s="24">
        <f t="shared" si="38"/>
        <v>6136.272</v>
      </c>
      <c r="AB139" s="24"/>
      <c r="AC139" s="24">
        <f t="shared" si="32"/>
        <v>2330.832</v>
      </c>
      <c r="AD139" s="26">
        <f t="shared" si="39"/>
        <v>1112.3200000000002</v>
      </c>
      <c r="AE139" s="8"/>
      <c r="AF139" s="8"/>
      <c r="AG139" s="26"/>
      <c r="AH139" s="24">
        <f t="shared" si="40"/>
        <v>5613.023999999999</v>
      </c>
      <c r="AI139" s="24">
        <v>57500</v>
      </c>
      <c r="AJ139" s="24">
        <f t="shared" si="49"/>
        <v>104560.362</v>
      </c>
    </row>
    <row r="140" spans="1:36" ht="15.75">
      <c r="A140" s="3" t="s">
        <v>99</v>
      </c>
      <c r="B140" s="4" t="s">
        <v>69</v>
      </c>
      <c r="C140" s="3" t="s">
        <v>2</v>
      </c>
      <c r="D140" s="18">
        <v>386.8</v>
      </c>
      <c r="E140" s="11">
        <f t="shared" si="41"/>
        <v>1670.9759999999999</v>
      </c>
      <c r="F140" s="11">
        <f t="shared" si="42"/>
        <v>5523.504</v>
      </c>
      <c r="G140" s="11">
        <f t="shared" si="43"/>
        <v>5477.088</v>
      </c>
      <c r="H140" s="11">
        <f t="shared" si="44"/>
        <v>1206.8160000000003</v>
      </c>
      <c r="I140" s="11">
        <f t="shared" si="45"/>
        <v>278.496</v>
      </c>
      <c r="J140" s="11">
        <f t="shared" si="46"/>
        <v>835.4879999999999</v>
      </c>
      <c r="K140" s="11">
        <f>8*8*4+8*6*2</f>
        <v>352</v>
      </c>
      <c r="L140" s="8">
        <f>144.73*14</f>
        <v>2026.2199999999998</v>
      </c>
      <c r="M140" s="8"/>
      <c r="N140" s="8"/>
      <c r="O140" s="16">
        <f t="shared" si="36"/>
        <v>1063.7000000000003</v>
      </c>
      <c r="P140" s="24">
        <f t="shared" si="47"/>
        <v>18434.288</v>
      </c>
      <c r="Q140" s="24"/>
      <c r="R140" s="26">
        <f t="shared" si="37"/>
        <v>14272.920000000002</v>
      </c>
      <c r="S140" s="11"/>
      <c r="T140" s="11"/>
      <c r="U140" s="11"/>
      <c r="V140" s="11">
        <v>5720</v>
      </c>
      <c r="W140" s="11"/>
      <c r="X140" s="11"/>
      <c r="Y140" s="11"/>
      <c r="Z140" s="24">
        <f t="shared" si="48"/>
        <v>5720</v>
      </c>
      <c r="AA140" s="24">
        <f t="shared" si="38"/>
        <v>5987.664000000001</v>
      </c>
      <c r="AB140" s="24"/>
      <c r="AC140" s="24">
        <f t="shared" si="32"/>
        <v>2274.384</v>
      </c>
      <c r="AD140" s="26">
        <f t="shared" si="39"/>
        <v>1085.4400000000003</v>
      </c>
      <c r="AE140" s="8"/>
      <c r="AF140" s="8"/>
      <c r="AG140" s="26"/>
      <c r="AH140" s="24">
        <f t="shared" si="40"/>
        <v>5477.088</v>
      </c>
      <c r="AI140" s="24">
        <v>57500</v>
      </c>
      <c r="AJ140" s="24">
        <f t="shared" si="49"/>
        <v>110751.784</v>
      </c>
    </row>
    <row r="141" spans="1:36" ht="15.75">
      <c r="A141" s="3" t="s">
        <v>99</v>
      </c>
      <c r="B141" s="4" t="s">
        <v>63</v>
      </c>
      <c r="C141" s="3" t="s">
        <v>2</v>
      </c>
      <c r="D141" s="18">
        <v>383.5</v>
      </c>
      <c r="E141" s="11">
        <f t="shared" si="41"/>
        <v>1656.72</v>
      </c>
      <c r="F141" s="11">
        <f t="shared" si="42"/>
        <v>5476.379999999999</v>
      </c>
      <c r="G141" s="11">
        <f t="shared" si="43"/>
        <v>5430.36</v>
      </c>
      <c r="H141" s="11">
        <f t="shared" si="44"/>
        <v>1196.52</v>
      </c>
      <c r="I141" s="11">
        <f t="shared" si="45"/>
        <v>276.12</v>
      </c>
      <c r="J141" s="11">
        <f t="shared" si="46"/>
        <v>828.36</v>
      </c>
      <c r="K141" s="11">
        <f>8*8*4+8*6*2</f>
        <v>352</v>
      </c>
      <c r="L141" s="8">
        <f>144.73*14</f>
        <v>2026.2199999999998</v>
      </c>
      <c r="M141" s="8"/>
      <c r="N141" s="8">
        <f>358*20.77</f>
        <v>7435.66</v>
      </c>
      <c r="O141" s="16">
        <f t="shared" si="36"/>
        <v>1054.625</v>
      </c>
      <c r="P141" s="24">
        <f t="shared" si="47"/>
        <v>25732.965</v>
      </c>
      <c r="Q141" s="24"/>
      <c r="R141" s="26">
        <f t="shared" si="37"/>
        <v>14151.15</v>
      </c>
      <c r="S141" s="11"/>
      <c r="T141" s="11"/>
      <c r="U141" s="11"/>
      <c r="V141" s="11">
        <v>3820</v>
      </c>
      <c r="W141" s="11"/>
      <c r="X141" s="11"/>
      <c r="Y141" s="11"/>
      <c r="Z141" s="24">
        <f t="shared" si="48"/>
        <v>3820</v>
      </c>
      <c r="AA141" s="24">
        <f t="shared" si="38"/>
        <v>5936.58</v>
      </c>
      <c r="AB141" s="24"/>
      <c r="AC141" s="24">
        <f t="shared" si="32"/>
        <v>2254.98</v>
      </c>
      <c r="AD141" s="26">
        <f t="shared" si="39"/>
        <v>1076.2</v>
      </c>
      <c r="AE141" s="8"/>
      <c r="AF141" s="8"/>
      <c r="AG141" s="26"/>
      <c r="AH141" s="24">
        <f t="shared" si="40"/>
        <v>5430.36</v>
      </c>
      <c r="AI141" s="24">
        <v>57500</v>
      </c>
      <c r="AJ141" s="24">
        <f t="shared" si="49"/>
        <v>115902.235</v>
      </c>
    </row>
    <row r="142" spans="1:36" ht="15.75">
      <c r="A142" s="3" t="s">
        <v>99</v>
      </c>
      <c r="B142" s="4" t="s">
        <v>70</v>
      </c>
      <c r="C142" s="3" t="s">
        <v>2</v>
      </c>
      <c r="D142" s="18">
        <v>3209.3</v>
      </c>
      <c r="E142" s="11">
        <f t="shared" si="41"/>
        <v>13864.176</v>
      </c>
      <c r="F142" s="11">
        <f t="shared" si="42"/>
        <v>45828.804000000004</v>
      </c>
      <c r="G142" s="11">
        <f t="shared" si="43"/>
        <v>45443.688</v>
      </c>
      <c r="H142" s="11">
        <f t="shared" si="44"/>
        <v>10013.016000000001</v>
      </c>
      <c r="I142" s="11">
        <f t="shared" si="45"/>
        <v>2310.696</v>
      </c>
      <c r="J142" s="11">
        <f t="shared" si="46"/>
        <v>6932.088</v>
      </c>
      <c r="K142" s="11">
        <f>80*8*4+80*6*2</f>
        <v>3520</v>
      </c>
      <c r="L142" s="8">
        <f>144.73*2</f>
        <v>289.46</v>
      </c>
      <c r="M142" s="8"/>
      <c r="N142" s="8"/>
      <c r="O142" s="16">
        <f t="shared" si="36"/>
        <v>8825.575</v>
      </c>
      <c r="P142" s="24">
        <f t="shared" si="47"/>
        <v>137027.50300000003</v>
      </c>
      <c r="Q142" s="24">
        <f>D142*1.27*5+D142*1.34*7</f>
        <v>50482.289000000004</v>
      </c>
      <c r="R142" s="26">
        <f t="shared" si="37"/>
        <v>118423.17000000001</v>
      </c>
      <c r="S142" s="11"/>
      <c r="T142" s="11"/>
      <c r="U142" s="11"/>
      <c r="V142" s="11"/>
      <c r="W142" s="11"/>
      <c r="X142" s="11"/>
      <c r="Y142" s="11"/>
      <c r="Z142" s="24">
        <f t="shared" si="48"/>
        <v>0</v>
      </c>
      <c r="AA142" s="24">
        <f t="shared" si="38"/>
        <v>49679.96400000001</v>
      </c>
      <c r="AB142" s="24"/>
      <c r="AC142" s="24">
        <f t="shared" si="32"/>
        <v>18870.684</v>
      </c>
      <c r="AD142" s="26">
        <f t="shared" si="39"/>
        <v>8988.44</v>
      </c>
      <c r="AE142" s="8"/>
      <c r="AF142" s="8"/>
      <c r="AG142" s="26"/>
      <c r="AH142" s="24">
        <f t="shared" si="40"/>
        <v>45443.688</v>
      </c>
      <c r="AI142" s="24">
        <v>57500</v>
      </c>
      <c r="AJ142" s="24">
        <f t="shared" si="49"/>
        <v>486415.7380000001</v>
      </c>
    </row>
    <row r="143" spans="1:36" ht="15.75">
      <c r="A143" s="3" t="s">
        <v>101</v>
      </c>
      <c r="B143" s="4" t="s">
        <v>102</v>
      </c>
      <c r="C143" s="3" t="s">
        <v>2</v>
      </c>
      <c r="D143" s="18">
        <v>1317.6</v>
      </c>
      <c r="E143" s="11">
        <f t="shared" si="41"/>
        <v>5692.031999999999</v>
      </c>
      <c r="F143" s="11">
        <f t="shared" si="42"/>
        <v>18815.327999999998</v>
      </c>
      <c r="G143" s="11">
        <f t="shared" si="43"/>
        <v>18657.215999999997</v>
      </c>
      <c r="H143" s="11">
        <f t="shared" si="44"/>
        <v>4110.911999999999</v>
      </c>
      <c r="I143" s="11">
        <f t="shared" si="45"/>
        <v>948.672</v>
      </c>
      <c r="J143" s="11">
        <f t="shared" si="46"/>
        <v>2846.0159999999996</v>
      </c>
      <c r="K143" s="11">
        <f>18*8*4+18*6*2</f>
        <v>792</v>
      </c>
      <c r="L143" s="8"/>
      <c r="M143" s="8"/>
      <c r="N143" s="8"/>
      <c r="O143" s="16">
        <f t="shared" si="36"/>
        <v>3623.4000000000005</v>
      </c>
      <c r="P143" s="24">
        <f t="shared" si="47"/>
        <v>55485.575999999994</v>
      </c>
      <c r="Q143" s="24"/>
      <c r="R143" s="26">
        <f t="shared" si="37"/>
        <v>48619.44</v>
      </c>
      <c r="S143" s="11">
        <v>8800</v>
      </c>
      <c r="T143" s="11"/>
      <c r="U143" s="11"/>
      <c r="V143" s="11"/>
      <c r="W143" s="11"/>
      <c r="X143" s="11"/>
      <c r="Y143" s="11"/>
      <c r="Z143" s="24">
        <f t="shared" si="48"/>
        <v>8800</v>
      </c>
      <c r="AA143" s="24">
        <f t="shared" si="38"/>
        <v>20396.448</v>
      </c>
      <c r="AB143" s="24"/>
      <c r="AC143" s="24">
        <f t="shared" si="32"/>
        <v>7747.487999999999</v>
      </c>
      <c r="AD143" s="26">
        <f t="shared" si="39"/>
        <v>3691.68</v>
      </c>
      <c r="AE143" s="8"/>
      <c r="AF143" s="8"/>
      <c r="AG143" s="26"/>
      <c r="AH143" s="24">
        <f t="shared" si="40"/>
        <v>18657.215999999997</v>
      </c>
      <c r="AI143" s="24">
        <v>57500</v>
      </c>
      <c r="AJ143" s="24">
        <f t="shared" si="49"/>
        <v>220897.848</v>
      </c>
    </row>
    <row r="144" spans="1:36" ht="15.75">
      <c r="A144" s="3" t="s">
        <v>101</v>
      </c>
      <c r="B144" s="4" t="s">
        <v>31</v>
      </c>
      <c r="C144" s="3" t="s">
        <v>2</v>
      </c>
      <c r="D144" s="21">
        <v>375.7</v>
      </c>
      <c r="E144" s="11">
        <f t="shared" si="41"/>
        <v>1623.024</v>
      </c>
      <c r="F144" s="11">
        <f t="shared" si="42"/>
        <v>5364.995999999999</v>
      </c>
      <c r="G144" s="11">
        <f t="shared" si="43"/>
        <v>5319.911999999999</v>
      </c>
      <c r="H144" s="11">
        <f t="shared" si="44"/>
        <v>1172.184</v>
      </c>
      <c r="I144" s="11">
        <f t="shared" si="45"/>
        <v>270.50399999999996</v>
      </c>
      <c r="J144" s="11">
        <f t="shared" si="46"/>
        <v>811.512</v>
      </c>
      <c r="K144" s="11">
        <f>8*6*2</f>
        <v>96</v>
      </c>
      <c r="L144" s="8"/>
      <c r="M144" s="8"/>
      <c r="N144" s="8"/>
      <c r="O144" s="16">
        <f t="shared" si="36"/>
        <v>1033.1750000000002</v>
      </c>
      <c r="P144" s="24">
        <f t="shared" si="47"/>
        <v>15691.306999999997</v>
      </c>
      <c r="Q144" s="24"/>
      <c r="R144" s="26">
        <f t="shared" si="37"/>
        <v>13863.33</v>
      </c>
      <c r="S144" s="11"/>
      <c r="T144" s="11"/>
      <c r="U144" s="11"/>
      <c r="V144" s="11"/>
      <c r="W144" s="11"/>
      <c r="X144" s="11"/>
      <c r="Y144" s="11"/>
      <c r="Z144" s="24">
        <f t="shared" si="48"/>
        <v>0</v>
      </c>
      <c r="AA144" s="24">
        <f t="shared" si="38"/>
        <v>5815.836</v>
      </c>
      <c r="AB144" s="24"/>
      <c r="AC144" s="24">
        <f t="shared" si="32"/>
        <v>2209.116</v>
      </c>
      <c r="AD144" s="26">
        <f t="shared" si="39"/>
        <v>1054.3600000000001</v>
      </c>
      <c r="AE144" s="8"/>
      <c r="AF144" s="8"/>
      <c r="AG144" s="26"/>
      <c r="AH144" s="24">
        <f t="shared" si="40"/>
        <v>5319.911999999999</v>
      </c>
      <c r="AI144" s="24"/>
      <c r="AJ144" s="24">
        <f t="shared" si="49"/>
        <v>43953.861</v>
      </c>
    </row>
    <row r="145" spans="1:36" ht="15.75">
      <c r="A145" s="3" t="s">
        <v>101</v>
      </c>
      <c r="B145" s="4" t="s">
        <v>37</v>
      </c>
      <c r="C145" s="3" t="s">
        <v>2</v>
      </c>
      <c r="D145" s="18">
        <v>5718.8</v>
      </c>
      <c r="E145" s="11">
        <f t="shared" si="41"/>
        <v>24705.216</v>
      </c>
      <c r="F145" s="11">
        <f t="shared" si="42"/>
        <v>81664.464</v>
      </c>
      <c r="G145" s="11">
        <f t="shared" si="43"/>
        <v>80978.208</v>
      </c>
      <c r="H145" s="11">
        <f t="shared" si="44"/>
        <v>17842.656000000003</v>
      </c>
      <c r="I145" s="11">
        <f t="shared" si="45"/>
        <v>4117.536</v>
      </c>
      <c r="J145" s="11">
        <f t="shared" si="46"/>
        <v>12352.608</v>
      </c>
      <c r="K145" s="11">
        <f>133*6*2</f>
        <v>1596</v>
      </c>
      <c r="L145" s="8">
        <f>144.73*3</f>
        <v>434.18999999999994</v>
      </c>
      <c r="M145" s="8"/>
      <c r="N145" s="8"/>
      <c r="O145" s="16">
        <f t="shared" si="36"/>
        <v>15726.7</v>
      </c>
      <c r="P145" s="24">
        <f t="shared" si="47"/>
        <v>239417.578</v>
      </c>
      <c r="Q145" s="24">
        <f>D145*1.27*5+D145*1.34*7</f>
        <v>89956.72400000002</v>
      </c>
      <c r="R145" s="26">
        <f t="shared" si="37"/>
        <v>211023.72000000003</v>
      </c>
      <c r="S145" s="11"/>
      <c r="T145" s="11"/>
      <c r="U145" s="11"/>
      <c r="V145" s="11"/>
      <c r="W145" s="11"/>
      <c r="X145" s="11"/>
      <c r="Y145" s="11"/>
      <c r="Z145" s="24">
        <f t="shared" si="48"/>
        <v>0</v>
      </c>
      <c r="AA145" s="24">
        <f t="shared" si="38"/>
        <v>88527.024</v>
      </c>
      <c r="AB145" s="24"/>
      <c r="AC145" s="24">
        <f t="shared" si="32"/>
        <v>33626.544</v>
      </c>
      <c r="AD145" s="26">
        <f t="shared" si="39"/>
        <v>16015.039999999999</v>
      </c>
      <c r="AE145" s="8"/>
      <c r="AF145" s="8"/>
      <c r="AG145" s="26"/>
      <c r="AH145" s="24">
        <f t="shared" si="40"/>
        <v>80978.208</v>
      </c>
      <c r="AI145" s="24">
        <v>57500</v>
      </c>
      <c r="AJ145" s="24">
        <f t="shared" si="49"/>
        <v>817044.8380000001</v>
      </c>
    </row>
    <row r="146" spans="1:36" ht="15.75">
      <c r="A146" s="3" t="s">
        <v>101</v>
      </c>
      <c r="B146" s="4" t="s">
        <v>103</v>
      </c>
      <c r="C146" s="3" t="s">
        <v>2</v>
      </c>
      <c r="D146" s="18">
        <v>1039.6</v>
      </c>
      <c r="E146" s="11">
        <f t="shared" si="41"/>
        <v>4491.072</v>
      </c>
      <c r="F146" s="11">
        <f t="shared" si="42"/>
        <v>14845.487999999998</v>
      </c>
      <c r="G146" s="11">
        <f t="shared" si="43"/>
        <v>14720.735999999997</v>
      </c>
      <c r="H146" s="11">
        <f t="shared" si="44"/>
        <v>3243.5519999999997</v>
      </c>
      <c r="I146" s="11">
        <f t="shared" si="45"/>
        <v>748.512</v>
      </c>
      <c r="J146" s="11">
        <f t="shared" si="46"/>
        <v>2245.536</v>
      </c>
      <c r="K146" s="11">
        <f>16*8*4+16*6*2</f>
        <v>704</v>
      </c>
      <c r="L146" s="8"/>
      <c r="M146" s="8"/>
      <c r="N146" s="8">
        <f>1124*20.77</f>
        <v>23345.48</v>
      </c>
      <c r="O146" s="16">
        <f t="shared" si="36"/>
        <v>2858.8999999999996</v>
      </c>
      <c r="P146" s="24">
        <f t="shared" si="47"/>
        <v>67203.276</v>
      </c>
      <c r="Q146" s="24"/>
      <c r="R146" s="26">
        <f t="shared" si="37"/>
        <v>38361.24</v>
      </c>
      <c r="S146" s="11"/>
      <c r="T146" s="11"/>
      <c r="U146" s="11"/>
      <c r="V146" s="11"/>
      <c r="W146" s="11"/>
      <c r="X146" s="11"/>
      <c r="Y146" s="11"/>
      <c r="Z146" s="24">
        <f t="shared" si="48"/>
        <v>0</v>
      </c>
      <c r="AA146" s="24">
        <f t="shared" si="38"/>
        <v>16093.007999999998</v>
      </c>
      <c r="AB146" s="24"/>
      <c r="AC146" s="24">
        <f t="shared" si="32"/>
        <v>6112.847999999999</v>
      </c>
      <c r="AD146" s="26">
        <f t="shared" si="39"/>
        <v>2913.2799999999997</v>
      </c>
      <c r="AE146" s="8"/>
      <c r="AF146" s="8"/>
      <c r="AG146" s="26"/>
      <c r="AH146" s="24">
        <f t="shared" si="40"/>
        <v>14720.735999999997</v>
      </c>
      <c r="AI146" s="24"/>
      <c r="AJ146" s="24">
        <f t="shared" si="49"/>
        <v>145404.388</v>
      </c>
    </row>
    <row r="147" spans="1:36" ht="15.75">
      <c r="A147" s="3" t="s">
        <v>101</v>
      </c>
      <c r="B147" s="4" t="s">
        <v>71</v>
      </c>
      <c r="C147" s="3" t="s">
        <v>2</v>
      </c>
      <c r="D147" s="18">
        <v>399.7</v>
      </c>
      <c r="E147" s="11">
        <f t="shared" si="41"/>
        <v>1726.704</v>
      </c>
      <c r="F147" s="11">
        <f t="shared" si="42"/>
        <v>5707.715999999999</v>
      </c>
      <c r="G147" s="11">
        <f t="shared" si="43"/>
        <v>5659.7519999999995</v>
      </c>
      <c r="H147" s="11">
        <f t="shared" si="44"/>
        <v>1247.0639999999999</v>
      </c>
      <c r="I147" s="11">
        <f t="shared" si="45"/>
        <v>287.784</v>
      </c>
      <c r="J147" s="11">
        <f t="shared" si="46"/>
        <v>863.352</v>
      </c>
      <c r="K147" s="11">
        <f>8*230</f>
        <v>1840</v>
      </c>
      <c r="L147" s="8"/>
      <c r="M147" s="8"/>
      <c r="N147" s="8"/>
      <c r="O147" s="16">
        <f t="shared" si="36"/>
        <v>1099.175</v>
      </c>
      <c r="P147" s="24">
        <f t="shared" si="47"/>
        <v>18431.547</v>
      </c>
      <c r="Q147" s="24"/>
      <c r="R147" s="26">
        <f t="shared" si="37"/>
        <v>14748.93</v>
      </c>
      <c r="S147" s="11"/>
      <c r="T147" s="11"/>
      <c r="U147" s="11"/>
      <c r="V147" s="11"/>
      <c r="W147" s="11"/>
      <c r="X147" s="11"/>
      <c r="Y147" s="11"/>
      <c r="Z147" s="24">
        <f t="shared" si="48"/>
        <v>0</v>
      </c>
      <c r="AA147" s="24">
        <f t="shared" si="38"/>
        <v>6187.356000000001</v>
      </c>
      <c r="AB147" s="24"/>
      <c r="AC147" s="24">
        <f t="shared" si="32"/>
        <v>2350.236</v>
      </c>
      <c r="AD147" s="26">
        <f t="shared" si="39"/>
        <v>1121.56</v>
      </c>
      <c r="AE147" s="8"/>
      <c r="AF147" s="8"/>
      <c r="AG147" s="26"/>
      <c r="AH147" s="24">
        <f t="shared" si="40"/>
        <v>5659.7519999999995</v>
      </c>
      <c r="AI147" s="24"/>
      <c r="AJ147" s="24">
        <f t="shared" si="49"/>
        <v>48499.380999999994</v>
      </c>
    </row>
    <row r="148" spans="1:36" ht="15.75">
      <c r="A148" s="3" t="s">
        <v>101</v>
      </c>
      <c r="B148" s="4" t="s">
        <v>104</v>
      </c>
      <c r="C148" s="3" t="s">
        <v>2</v>
      </c>
      <c r="D148" s="21">
        <v>280.9</v>
      </c>
      <c r="E148" s="11">
        <f t="shared" si="41"/>
        <v>1213.4879999999998</v>
      </c>
      <c r="F148" s="11">
        <f t="shared" si="42"/>
        <v>4011.2519999999995</v>
      </c>
      <c r="G148" s="11">
        <f t="shared" si="43"/>
        <v>3977.543999999999</v>
      </c>
      <c r="H148" s="11">
        <f t="shared" si="44"/>
        <v>876.4079999999999</v>
      </c>
      <c r="I148" s="11">
        <f t="shared" si="45"/>
        <v>202.248</v>
      </c>
      <c r="J148" s="11">
        <f t="shared" si="46"/>
        <v>606.7439999999999</v>
      </c>
      <c r="K148" s="11">
        <f>5*230</f>
        <v>1150</v>
      </c>
      <c r="L148" s="8"/>
      <c r="M148" s="8"/>
      <c r="N148" s="8"/>
      <c r="O148" s="16">
        <f t="shared" si="36"/>
        <v>772.475</v>
      </c>
      <c r="P148" s="24">
        <f t="shared" si="47"/>
        <v>12810.159</v>
      </c>
      <c r="Q148" s="24"/>
      <c r="R148" s="26">
        <f t="shared" si="37"/>
        <v>10365.21</v>
      </c>
      <c r="S148" s="11"/>
      <c r="T148" s="11"/>
      <c r="U148" s="11"/>
      <c r="V148" s="11"/>
      <c r="W148" s="11"/>
      <c r="X148" s="11"/>
      <c r="Y148" s="11"/>
      <c r="Z148" s="24">
        <f t="shared" si="48"/>
        <v>0</v>
      </c>
      <c r="AA148" s="24">
        <f t="shared" si="38"/>
        <v>4348.332</v>
      </c>
      <c r="AB148" s="24"/>
      <c r="AC148" s="24">
        <f t="shared" si="32"/>
        <v>1651.692</v>
      </c>
      <c r="AD148" s="26">
        <f t="shared" si="39"/>
        <v>788.92</v>
      </c>
      <c r="AE148" s="8"/>
      <c r="AF148" s="8"/>
      <c r="AG148" s="26"/>
      <c r="AH148" s="24">
        <f t="shared" si="40"/>
        <v>3977.543999999999</v>
      </c>
      <c r="AI148" s="24"/>
      <c r="AJ148" s="24">
        <f t="shared" si="49"/>
        <v>33941.856999999996</v>
      </c>
    </row>
    <row r="149" spans="1:36" ht="15.75">
      <c r="A149" s="5" t="s">
        <v>105</v>
      </c>
      <c r="B149" s="5" t="s">
        <v>69</v>
      </c>
      <c r="C149" s="3" t="s">
        <v>2</v>
      </c>
      <c r="D149" s="21">
        <v>129.7</v>
      </c>
      <c r="E149" s="11">
        <f t="shared" si="41"/>
        <v>560.3039999999999</v>
      </c>
      <c r="F149" s="11">
        <f t="shared" si="42"/>
        <v>1852.116</v>
      </c>
      <c r="G149" s="11">
        <f t="shared" si="43"/>
        <v>1836.552</v>
      </c>
      <c r="H149" s="11">
        <f t="shared" si="44"/>
        <v>404.664</v>
      </c>
      <c r="I149" s="11">
        <f t="shared" si="45"/>
        <v>93.38399999999999</v>
      </c>
      <c r="J149" s="11">
        <f t="shared" si="46"/>
        <v>280.15199999999993</v>
      </c>
      <c r="K149" s="11">
        <f>3*6*2</f>
        <v>36</v>
      </c>
      <c r="L149" s="8"/>
      <c r="M149" s="8"/>
      <c r="N149" s="8"/>
      <c r="O149" s="16">
        <f t="shared" si="36"/>
        <v>356.67499999999995</v>
      </c>
      <c r="P149" s="24">
        <f t="shared" si="47"/>
        <v>5419.847</v>
      </c>
      <c r="Q149" s="24"/>
      <c r="R149" s="26">
        <f t="shared" si="37"/>
        <v>4785.93</v>
      </c>
      <c r="S149" s="11"/>
      <c r="T149" s="11"/>
      <c r="U149" s="11"/>
      <c r="V149" s="11"/>
      <c r="W149" s="11"/>
      <c r="X149" s="11"/>
      <c r="Y149" s="11"/>
      <c r="Z149" s="24">
        <f t="shared" si="48"/>
        <v>0</v>
      </c>
      <c r="AA149" s="24">
        <f t="shared" si="38"/>
        <v>2007.7559999999999</v>
      </c>
      <c r="AB149" s="24"/>
      <c r="AC149" s="24">
        <f t="shared" si="32"/>
        <v>762.6359999999999</v>
      </c>
      <c r="AD149" s="26">
        <f t="shared" si="39"/>
        <v>365.55999999999995</v>
      </c>
      <c r="AE149" s="8"/>
      <c r="AF149" s="8"/>
      <c r="AG149" s="26"/>
      <c r="AH149" s="24">
        <f t="shared" si="40"/>
        <v>1836.552</v>
      </c>
      <c r="AI149" s="24"/>
      <c r="AJ149" s="24">
        <f t="shared" si="49"/>
        <v>15178.280999999999</v>
      </c>
    </row>
    <row r="150" spans="1:36" ht="15.75">
      <c r="A150" s="3" t="s">
        <v>105</v>
      </c>
      <c r="B150" s="4" t="s">
        <v>64</v>
      </c>
      <c r="C150" s="3" t="s">
        <v>2</v>
      </c>
      <c r="D150" s="21">
        <v>178.3</v>
      </c>
      <c r="E150" s="11">
        <f t="shared" si="41"/>
        <v>770.2560000000001</v>
      </c>
      <c r="F150" s="11">
        <f t="shared" si="42"/>
        <v>2546.124</v>
      </c>
      <c r="G150" s="11">
        <f t="shared" si="43"/>
        <v>2524.728</v>
      </c>
      <c r="H150" s="11">
        <f t="shared" si="44"/>
        <v>556.296</v>
      </c>
      <c r="I150" s="11">
        <f t="shared" si="45"/>
        <v>128.376</v>
      </c>
      <c r="J150" s="11">
        <f t="shared" si="46"/>
        <v>385.12800000000004</v>
      </c>
      <c r="K150" s="11">
        <f>4*6*2</f>
        <v>48</v>
      </c>
      <c r="L150" s="8"/>
      <c r="M150" s="8"/>
      <c r="N150" s="8"/>
      <c r="O150" s="16">
        <f t="shared" si="36"/>
        <v>490.32500000000005</v>
      </c>
      <c r="P150" s="24">
        <f t="shared" si="47"/>
        <v>7449.233</v>
      </c>
      <c r="Q150" s="24"/>
      <c r="R150" s="26">
        <f t="shared" si="37"/>
        <v>6579.27</v>
      </c>
      <c r="S150" s="11"/>
      <c r="T150" s="11"/>
      <c r="U150" s="11"/>
      <c r="V150" s="11"/>
      <c r="W150" s="11"/>
      <c r="X150" s="11"/>
      <c r="Y150" s="11"/>
      <c r="Z150" s="24">
        <f t="shared" si="48"/>
        <v>0</v>
      </c>
      <c r="AA150" s="24">
        <f t="shared" si="38"/>
        <v>2760.0840000000003</v>
      </c>
      <c r="AB150" s="24"/>
      <c r="AC150" s="24">
        <f t="shared" si="32"/>
        <v>1048.404</v>
      </c>
      <c r="AD150" s="26">
        <f t="shared" si="39"/>
        <v>501.64000000000004</v>
      </c>
      <c r="AE150" s="8"/>
      <c r="AF150" s="8"/>
      <c r="AG150" s="26"/>
      <c r="AH150" s="24">
        <f t="shared" si="40"/>
        <v>2524.728</v>
      </c>
      <c r="AI150" s="24"/>
      <c r="AJ150" s="24">
        <f t="shared" si="49"/>
        <v>20863.358999999997</v>
      </c>
    </row>
    <row r="151" spans="1:36" ht="15.75">
      <c r="A151" s="5" t="s">
        <v>105</v>
      </c>
      <c r="B151" s="5" t="s">
        <v>106</v>
      </c>
      <c r="C151" s="3" t="s">
        <v>2</v>
      </c>
      <c r="D151" s="21">
        <v>202.5</v>
      </c>
      <c r="E151" s="11">
        <f t="shared" si="41"/>
        <v>874.8</v>
      </c>
      <c r="F151" s="11">
        <f t="shared" si="42"/>
        <v>2891.7</v>
      </c>
      <c r="G151" s="11">
        <f t="shared" si="43"/>
        <v>2867.3999999999996</v>
      </c>
      <c r="H151" s="11">
        <f t="shared" si="44"/>
        <v>631.8</v>
      </c>
      <c r="I151" s="11">
        <f t="shared" si="45"/>
        <v>145.8</v>
      </c>
      <c r="J151" s="11">
        <f t="shared" si="46"/>
        <v>437.4</v>
      </c>
      <c r="K151" s="11">
        <f>6*230</f>
        <v>1380</v>
      </c>
      <c r="L151" s="8"/>
      <c r="M151" s="8"/>
      <c r="N151" s="8"/>
      <c r="O151" s="16">
        <f t="shared" si="36"/>
        <v>556.8750000000001</v>
      </c>
      <c r="P151" s="24">
        <f t="shared" si="47"/>
        <v>9785.775</v>
      </c>
      <c r="Q151" s="24"/>
      <c r="R151" s="26">
        <f t="shared" si="37"/>
        <v>7472.25</v>
      </c>
      <c r="S151" s="11"/>
      <c r="T151" s="11"/>
      <c r="U151" s="11"/>
      <c r="V151" s="11"/>
      <c r="W151" s="11"/>
      <c r="X151" s="11"/>
      <c r="Y151" s="11"/>
      <c r="Z151" s="24">
        <f t="shared" si="48"/>
        <v>0</v>
      </c>
      <c r="AA151" s="24">
        <f t="shared" si="38"/>
        <v>3134.7000000000003</v>
      </c>
      <c r="AB151" s="24"/>
      <c r="AC151" s="24">
        <f t="shared" si="32"/>
        <v>1190.6999999999998</v>
      </c>
      <c r="AD151" s="26">
        <f t="shared" si="39"/>
        <v>569.4</v>
      </c>
      <c r="AE151" s="8"/>
      <c r="AF151" s="8"/>
      <c r="AG151" s="26"/>
      <c r="AH151" s="24">
        <f t="shared" si="40"/>
        <v>2867.3999999999996</v>
      </c>
      <c r="AI151" s="24"/>
      <c r="AJ151" s="24">
        <f t="shared" si="49"/>
        <v>25020.225000000006</v>
      </c>
    </row>
    <row r="152" spans="1:36" ht="15.75">
      <c r="A152" s="3" t="s">
        <v>105</v>
      </c>
      <c r="B152" s="4" t="s">
        <v>107</v>
      </c>
      <c r="C152" s="3" t="s">
        <v>2</v>
      </c>
      <c r="D152" s="18">
        <v>640.3</v>
      </c>
      <c r="E152" s="11">
        <f t="shared" si="41"/>
        <v>2766.0959999999995</v>
      </c>
      <c r="F152" s="11">
        <f t="shared" si="42"/>
        <v>9143.483999999999</v>
      </c>
      <c r="G152" s="11">
        <f t="shared" si="43"/>
        <v>9066.647999999997</v>
      </c>
      <c r="H152" s="11">
        <f t="shared" si="44"/>
        <v>1997.7359999999999</v>
      </c>
      <c r="I152" s="11">
        <f t="shared" si="45"/>
        <v>461.01599999999996</v>
      </c>
      <c r="J152" s="11">
        <f t="shared" si="46"/>
        <v>1383.0479999999998</v>
      </c>
      <c r="K152" s="11">
        <f>16*8*4+16*6*2</f>
        <v>704</v>
      </c>
      <c r="L152" s="8">
        <f>144.73*22</f>
        <v>3184.06</v>
      </c>
      <c r="M152" s="8"/>
      <c r="N152" s="8"/>
      <c r="O152" s="16">
        <f t="shared" si="36"/>
        <v>1760.825</v>
      </c>
      <c r="P152" s="24">
        <f t="shared" si="47"/>
        <v>30466.912999999997</v>
      </c>
      <c r="Q152" s="24"/>
      <c r="R152" s="26">
        <f t="shared" si="37"/>
        <v>23627.07</v>
      </c>
      <c r="S152" s="11">
        <v>107085</v>
      </c>
      <c r="T152" s="11"/>
      <c r="U152" s="11"/>
      <c r="V152" s="11">
        <v>29890</v>
      </c>
      <c r="W152" s="11"/>
      <c r="X152" s="11"/>
      <c r="Y152" s="11"/>
      <c r="Z152" s="24">
        <f t="shared" si="48"/>
        <v>136975</v>
      </c>
      <c r="AA152" s="24">
        <f t="shared" si="38"/>
        <v>9911.844</v>
      </c>
      <c r="AB152" s="24"/>
      <c r="AC152" s="24">
        <f t="shared" si="32"/>
        <v>3764.9639999999995</v>
      </c>
      <c r="AD152" s="26">
        <f t="shared" si="39"/>
        <v>1795.2400000000002</v>
      </c>
      <c r="AE152" s="8"/>
      <c r="AF152" s="8"/>
      <c r="AG152" s="26"/>
      <c r="AH152" s="24">
        <f t="shared" si="40"/>
        <v>9066.647999999997</v>
      </c>
      <c r="AI152" s="24">
        <v>57500</v>
      </c>
      <c r="AJ152" s="24">
        <f t="shared" si="49"/>
        <v>273107.679</v>
      </c>
    </row>
    <row r="153" spans="1:36" ht="15.75">
      <c r="A153" s="3" t="s">
        <v>105</v>
      </c>
      <c r="B153" s="4" t="s">
        <v>108</v>
      </c>
      <c r="C153" s="3" t="s">
        <v>2</v>
      </c>
      <c r="D153" s="18">
        <v>636.1</v>
      </c>
      <c r="E153" s="11">
        <f t="shared" si="41"/>
        <v>2747.952</v>
      </c>
      <c r="F153" s="11">
        <f t="shared" si="42"/>
        <v>9083.508</v>
      </c>
      <c r="G153" s="11">
        <f t="shared" si="43"/>
        <v>9007.176</v>
      </c>
      <c r="H153" s="11">
        <f t="shared" si="44"/>
        <v>1984.6320000000003</v>
      </c>
      <c r="I153" s="11">
        <f t="shared" si="45"/>
        <v>457.99199999999996</v>
      </c>
      <c r="J153" s="11">
        <f t="shared" si="46"/>
        <v>1373.976</v>
      </c>
      <c r="K153" s="11">
        <f>16*8*4+16*6*2</f>
        <v>704</v>
      </c>
      <c r="L153" s="8">
        <f>144.73*22</f>
        <v>3184.06</v>
      </c>
      <c r="M153" s="8"/>
      <c r="N153" s="8">
        <f>570*20.77</f>
        <v>11838.9</v>
      </c>
      <c r="O153" s="16">
        <f t="shared" si="36"/>
        <v>1749.275</v>
      </c>
      <c r="P153" s="24">
        <f t="shared" si="47"/>
        <v>42131.471</v>
      </c>
      <c r="Q153" s="24"/>
      <c r="R153" s="26">
        <f t="shared" si="37"/>
        <v>23472.090000000004</v>
      </c>
      <c r="S153" s="11">
        <v>124785</v>
      </c>
      <c r="T153" s="11"/>
      <c r="U153" s="11"/>
      <c r="V153" s="11">
        <v>34200</v>
      </c>
      <c r="W153" s="11">
        <f>4*220</f>
        <v>880</v>
      </c>
      <c r="X153" s="11"/>
      <c r="Y153" s="11"/>
      <c r="Z153" s="24">
        <f t="shared" si="48"/>
        <v>159865</v>
      </c>
      <c r="AA153" s="24">
        <f t="shared" si="38"/>
        <v>9846.828000000001</v>
      </c>
      <c r="AB153" s="24"/>
      <c r="AC153" s="24">
        <f t="shared" si="32"/>
        <v>3740.268</v>
      </c>
      <c r="AD153" s="26">
        <f t="shared" si="39"/>
        <v>1783.4800000000002</v>
      </c>
      <c r="AE153" s="8"/>
      <c r="AF153" s="8"/>
      <c r="AG153" s="26"/>
      <c r="AH153" s="24">
        <f t="shared" si="40"/>
        <v>9007.176</v>
      </c>
      <c r="AI153" s="24">
        <v>57500</v>
      </c>
      <c r="AJ153" s="24">
        <f t="shared" si="49"/>
        <v>307346.313</v>
      </c>
    </row>
    <row r="154" spans="1:36" ht="15.75">
      <c r="A154" s="3" t="s">
        <v>109</v>
      </c>
      <c r="B154" s="4" t="s">
        <v>1</v>
      </c>
      <c r="C154" s="3" t="s">
        <v>2</v>
      </c>
      <c r="D154" s="18">
        <v>3430</v>
      </c>
      <c r="E154" s="11">
        <f t="shared" si="41"/>
        <v>14817.599999999999</v>
      </c>
      <c r="F154" s="11">
        <f t="shared" si="42"/>
        <v>48980.399999999994</v>
      </c>
      <c r="G154" s="11">
        <f t="shared" si="43"/>
        <v>48568.799999999996</v>
      </c>
      <c r="H154" s="11">
        <f t="shared" si="44"/>
        <v>10701.6</v>
      </c>
      <c r="I154" s="11">
        <f t="shared" si="45"/>
        <v>2469.6</v>
      </c>
      <c r="J154" s="11">
        <f t="shared" si="46"/>
        <v>7408.799999999999</v>
      </c>
      <c r="K154" s="11">
        <f>75*6*2</f>
        <v>900</v>
      </c>
      <c r="L154" s="8">
        <f>144.73*3</f>
        <v>434.18999999999994</v>
      </c>
      <c r="M154" s="8"/>
      <c r="N154" s="8"/>
      <c r="O154" s="16">
        <f t="shared" si="36"/>
        <v>9432.500000000002</v>
      </c>
      <c r="P154" s="24">
        <f t="shared" si="47"/>
        <v>143713.49</v>
      </c>
      <c r="Q154" s="24">
        <f>D154*1.27*5+D154*1.34*7</f>
        <v>53953.90000000001</v>
      </c>
      <c r="R154" s="26">
        <f t="shared" si="37"/>
        <v>126567</v>
      </c>
      <c r="S154" s="11">
        <v>44396</v>
      </c>
      <c r="T154" s="11">
        <v>125730.01</v>
      </c>
      <c r="U154" s="11"/>
      <c r="V154" s="11"/>
      <c r="W154" s="11"/>
      <c r="X154" s="11"/>
      <c r="Y154" s="11"/>
      <c r="Z154" s="24">
        <f t="shared" si="48"/>
        <v>170126.01</v>
      </c>
      <c r="AA154" s="24">
        <f t="shared" si="38"/>
        <v>53096.399999999994</v>
      </c>
      <c r="AB154" s="24"/>
      <c r="AC154" s="24">
        <f t="shared" si="32"/>
        <v>20168.4</v>
      </c>
      <c r="AD154" s="26">
        <f t="shared" si="39"/>
        <v>9606.4</v>
      </c>
      <c r="AE154" s="8"/>
      <c r="AF154" s="8"/>
      <c r="AG154" s="26"/>
      <c r="AH154" s="24">
        <f t="shared" si="40"/>
        <v>48568.799999999996</v>
      </c>
      <c r="AI154" s="24">
        <v>57500</v>
      </c>
      <c r="AJ154" s="24">
        <f t="shared" si="49"/>
        <v>683300.4000000001</v>
      </c>
    </row>
    <row r="155" spans="1:36" ht="15.75">
      <c r="A155" s="3" t="s">
        <v>109</v>
      </c>
      <c r="B155" s="4" t="s">
        <v>1</v>
      </c>
      <c r="C155" s="3" t="s">
        <v>110</v>
      </c>
      <c r="D155" s="18">
        <v>3452.8</v>
      </c>
      <c r="E155" s="11">
        <f t="shared" si="41"/>
        <v>14916.096000000001</v>
      </c>
      <c r="F155" s="11">
        <f t="shared" si="42"/>
        <v>49305.984000000004</v>
      </c>
      <c r="G155" s="11">
        <f t="shared" si="43"/>
        <v>48891.648</v>
      </c>
      <c r="H155" s="11">
        <f t="shared" si="44"/>
        <v>10772.736</v>
      </c>
      <c r="I155" s="11">
        <f t="shared" si="45"/>
        <v>2486.016</v>
      </c>
      <c r="J155" s="11">
        <f t="shared" si="46"/>
        <v>7458.048000000001</v>
      </c>
      <c r="K155" s="11">
        <f>75*6*2</f>
        <v>900</v>
      </c>
      <c r="L155" s="8">
        <f>144.73*3</f>
        <v>434.18999999999994</v>
      </c>
      <c r="M155" s="8"/>
      <c r="N155" s="8"/>
      <c r="O155" s="16">
        <f t="shared" si="36"/>
        <v>9495.2</v>
      </c>
      <c r="P155" s="24">
        <f t="shared" si="47"/>
        <v>144659.91800000003</v>
      </c>
      <c r="Q155" s="24">
        <f>D155*1.27*5+D155*1.34*7</f>
        <v>54312.54400000001</v>
      </c>
      <c r="R155" s="26">
        <f t="shared" si="37"/>
        <v>127408.32000000002</v>
      </c>
      <c r="S155" s="11"/>
      <c r="T155" s="11">
        <v>56430</v>
      </c>
      <c r="U155" s="11"/>
      <c r="V155" s="11"/>
      <c r="W155" s="11"/>
      <c r="X155" s="11"/>
      <c r="Y155" s="11"/>
      <c r="Z155" s="24">
        <f t="shared" si="48"/>
        <v>56430</v>
      </c>
      <c r="AA155" s="24">
        <f t="shared" si="38"/>
        <v>53449.344</v>
      </c>
      <c r="AB155" s="24"/>
      <c r="AC155" s="24">
        <f t="shared" si="32"/>
        <v>20302.464</v>
      </c>
      <c r="AD155" s="26">
        <f t="shared" si="39"/>
        <v>9670.24</v>
      </c>
      <c r="AE155" s="8"/>
      <c r="AF155" s="8"/>
      <c r="AG155" s="26"/>
      <c r="AH155" s="24">
        <f t="shared" si="40"/>
        <v>48891.648</v>
      </c>
      <c r="AI155" s="24"/>
      <c r="AJ155" s="24">
        <f t="shared" si="49"/>
        <v>515124.478</v>
      </c>
    </row>
    <row r="156" spans="1:36" ht="15.75">
      <c r="A156" s="3" t="s">
        <v>109</v>
      </c>
      <c r="B156" s="4" t="s">
        <v>34</v>
      </c>
      <c r="C156" s="3" t="s">
        <v>2</v>
      </c>
      <c r="D156" s="21">
        <v>61</v>
      </c>
      <c r="E156" s="11">
        <f t="shared" si="41"/>
        <v>263.52</v>
      </c>
      <c r="F156" s="11">
        <f t="shared" si="42"/>
        <v>871.08</v>
      </c>
      <c r="G156" s="11">
        <f t="shared" si="43"/>
        <v>863.7599999999999</v>
      </c>
      <c r="H156" s="11">
        <f t="shared" si="44"/>
        <v>190.32000000000002</v>
      </c>
      <c r="I156" s="11">
        <f t="shared" si="45"/>
        <v>43.919999999999995</v>
      </c>
      <c r="J156" s="11">
        <f t="shared" si="46"/>
        <v>131.76</v>
      </c>
      <c r="K156" s="11">
        <f>2*230</f>
        <v>460</v>
      </c>
      <c r="L156" s="8"/>
      <c r="M156" s="8"/>
      <c r="N156" s="8"/>
      <c r="O156" s="16">
        <f t="shared" si="36"/>
        <v>167.75000000000003</v>
      </c>
      <c r="P156" s="24">
        <f t="shared" si="47"/>
        <v>2992.1099999999997</v>
      </c>
      <c r="Q156" s="24"/>
      <c r="R156" s="26">
        <f t="shared" si="37"/>
        <v>2250.9</v>
      </c>
      <c r="S156" s="11"/>
      <c r="T156" s="11"/>
      <c r="U156" s="11"/>
      <c r="V156" s="11"/>
      <c r="W156" s="11"/>
      <c r="X156" s="11"/>
      <c r="Y156" s="11"/>
      <c r="Z156" s="24">
        <f t="shared" si="48"/>
        <v>0</v>
      </c>
      <c r="AA156" s="24">
        <f t="shared" si="38"/>
        <v>944.28</v>
      </c>
      <c r="AB156" s="24"/>
      <c r="AC156" s="24">
        <f t="shared" si="32"/>
        <v>358.68</v>
      </c>
      <c r="AD156" s="26">
        <f t="shared" si="39"/>
        <v>173.20000000000002</v>
      </c>
      <c r="AE156" s="8"/>
      <c r="AF156" s="8"/>
      <c r="AG156" s="26"/>
      <c r="AH156" s="24">
        <f t="shared" si="40"/>
        <v>863.7599999999999</v>
      </c>
      <c r="AI156" s="24"/>
      <c r="AJ156" s="24">
        <f t="shared" si="49"/>
        <v>7582.93</v>
      </c>
    </row>
    <row r="157" spans="1:36" ht="15.75">
      <c r="A157" s="3" t="s">
        <v>111</v>
      </c>
      <c r="B157" s="4" t="s">
        <v>79</v>
      </c>
      <c r="C157" s="3" t="s">
        <v>2</v>
      </c>
      <c r="D157" s="21">
        <v>1207.2</v>
      </c>
      <c r="E157" s="11">
        <f t="shared" si="41"/>
        <v>5215.103999999999</v>
      </c>
      <c r="F157" s="11">
        <f t="shared" si="42"/>
        <v>17238.816</v>
      </c>
      <c r="G157" s="11">
        <f t="shared" si="43"/>
        <v>17093.951999999997</v>
      </c>
      <c r="H157" s="11">
        <f t="shared" si="44"/>
        <v>3766.464</v>
      </c>
      <c r="I157" s="11">
        <f t="shared" si="45"/>
        <v>869.184</v>
      </c>
      <c r="J157" s="11">
        <f t="shared" si="46"/>
        <v>2607.5519999999997</v>
      </c>
      <c r="K157" s="11">
        <f>16*230</f>
        <v>3680</v>
      </c>
      <c r="L157" s="8">
        <f>144.73*2</f>
        <v>289.46</v>
      </c>
      <c r="M157" s="8"/>
      <c r="N157" s="8"/>
      <c r="O157" s="16">
        <f t="shared" si="36"/>
        <v>3319.8</v>
      </c>
      <c r="P157" s="24">
        <f t="shared" si="47"/>
        <v>54080.332</v>
      </c>
      <c r="Q157" s="24"/>
      <c r="R157" s="26">
        <f t="shared" si="37"/>
        <v>44545.68000000001</v>
      </c>
      <c r="S157" s="11"/>
      <c r="T157" s="11"/>
      <c r="U157" s="11"/>
      <c r="V157" s="11"/>
      <c r="W157" s="11"/>
      <c r="X157" s="11"/>
      <c r="Y157" s="11"/>
      <c r="Z157" s="24">
        <f t="shared" si="48"/>
        <v>0</v>
      </c>
      <c r="AA157" s="24">
        <f t="shared" si="38"/>
        <v>18687.456</v>
      </c>
      <c r="AB157" s="24"/>
      <c r="AC157" s="24">
        <f t="shared" si="32"/>
        <v>7098.336</v>
      </c>
      <c r="AD157" s="26">
        <f t="shared" si="39"/>
        <v>3382.5600000000004</v>
      </c>
      <c r="AE157" s="8"/>
      <c r="AF157" s="8"/>
      <c r="AG157" s="26"/>
      <c r="AH157" s="24">
        <f t="shared" si="40"/>
        <v>17093.951999999997</v>
      </c>
      <c r="AI157" s="24"/>
      <c r="AJ157" s="24">
        <f t="shared" si="49"/>
        <v>144888.31600000002</v>
      </c>
    </row>
    <row r="158" spans="1:36" ht="15.75">
      <c r="A158" s="3" t="s">
        <v>112</v>
      </c>
      <c r="B158" s="4" t="s">
        <v>39</v>
      </c>
      <c r="C158" s="3" t="s">
        <v>2</v>
      </c>
      <c r="D158" s="18">
        <v>9787.2</v>
      </c>
      <c r="E158" s="11">
        <f t="shared" si="41"/>
        <v>42280.704000000005</v>
      </c>
      <c r="F158" s="11">
        <f t="shared" si="42"/>
        <v>139761.21600000001</v>
      </c>
      <c r="G158" s="11">
        <f t="shared" si="43"/>
        <v>138586.752</v>
      </c>
      <c r="H158" s="11">
        <f t="shared" si="44"/>
        <v>30536.064000000006</v>
      </c>
      <c r="I158" s="11">
        <f t="shared" si="45"/>
        <v>7046.784</v>
      </c>
      <c r="J158" s="11">
        <f t="shared" si="46"/>
        <v>21140.352000000003</v>
      </c>
      <c r="K158" s="11">
        <f>179*6*2</f>
        <v>2148</v>
      </c>
      <c r="L158" s="8">
        <f>144.73*3</f>
        <v>434.18999999999994</v>
      </c>
      <c r="M158" s="8"/>
      <c r="N158" s="8"/>
      <c r="O158" s="16">
        <f t="shared" si="36"/>
        <v>26914.800000000003</v>
      </c>
      <c r="P158" s="24">
        <f t="shared" si="47"/>
        <v>408848.862</v>
      </c>
      <c r="Q158" s="24">
        <f aca="true" t="shared" si="50" ref="Q158:Q177">D158*1.27*5+D158*1.34*7</f>
        <v>153952.65600000002</v>
      </c>
      <c r="R158" s="26">
        <f t="shared" si="37"/>
        <v>361147.68000000005</v>
      </c>
      <c r="S158" s="11">
        <v>14833</v>
      </c>
      <c r="T158" s="11">
        <v>1680</v>
      </c>
      <c r="U158" s="11"/>
      <c r="V158" s="11"/>
      <c r="W158" s="11"/>
      <c r="X158" s="11">
        <v>11800</v>
      </c>
      <c r="Y158" s="11"/>
      <c r="Z158" s="24">
        <f t="shared" si="48"/>
        <v>28313</v>
      </c>
      <c r="AA158" s="24">
        <f t="shared" si="38"/>
        <v>151505.85600000003</v>
      </c>
      <c r="AB158" s="24"/>
      <c r="AC158" s="24">
        <f t="shared" si="32"/>
        <v>57548.736000000004</v>
      </c>
      <c r="AD158" s="26">
        <f t="shared" si="39"/>
        <v>27406.560000000005</v>
      </c>
      <c r="AE158" s="8">
        <v>150520.45</v>
      </c>
      <c r="AF158" s="11">
        <v>8689.7</v>
      </c>
      <c r="AG158" s="26">
        <f>SUM(AE158:AF158)</f>
        <v>159210.15000000002</v>
      </c>
      <c r="AH158" s="24">
        <f t="shared" si="40"/>
        <v>138586.752</v>
      </c>
      <c r="AI158" s="24"/>
      <c r="AJ158" s="24">
        <f t="shared" si="49"/>
        <v>1486520.252</v>
      </c>
    </row>
    <row r="159" spans="1:36" ht="15.75">
      <c r="A159" s="3" t="s">
        <v>112</v>
      </c>
      <c r="B159" s="4" t="s">
        <v>39</v>
      </c>
      <c r="C159" s="3" t="s">
        <v>110</v>
      </c>
      <c r="D159" s="18">
        <v>2640.5</v>
      </c>
      <c r="E159" s="11">
        <f t="shared" si="41"/>
        <v>11406.96</v>
      </c>
      <c r="F159" s="11">
        <f t="shared" si="42"/>
        <v>37706.34</v>
      </c>
      <c r="G159" s="11">
        <f t="shared" si="43"/>
        <v>37389.479999999996</v>
      </c>
      <c r="H159" s="11">
        <f t="shared" si="44"/>
        <v>8238.36</v>
      </c>
      <c r="I159" s="11">
        <f t="shared" si="45"/>
        <v>1901.16</v>
      </c>
      <c r="J159" s="11">
        <f t="shared" si="46"/>
        <v>5703.48</v>
      </c>
      <c r="K159" s="11">
        <f>54*6*2</f>
        <v>648</v>
      </c>
      <c r="L159" s="8">
        <f>144.73*60</f>
        <v>8683.8</v>
      </c>
      <c r="M159" s="8"/>
      <c r="N159" s="8"/>
      <c r="O159" s="16">
        <f t="shared" si="36"/>
        <v>7261.375</v>
      </c>
      <c r="P159" s="24">
        <f t="shared" si="47"/>
        <v>118938.955</v>
      </c>
      <c r="Q159" s="24">
        <f t="shared" si="50"/>
        <v>41535.065</v>
      </c>
      <c r="R159" s="26">
        <f t="shared" si="37"/>
        <v>97434.45000000001</v>
      </c>
      <c r="S159" s="11">
        <v>47000</v>
      </c>
      <c r="T159" s="11"/>
      <c r="U159" s="11"/>
      <c r="V159" s="11"/>
      <c r="W159" s="11"/>
      <c r="X159" s="11"/>
      <c r="Y159" s="11"/>
      <c r="Z159" s="24">
        <f t="shared" si="48"/>
        <v>47000</v>
      </c>
      <c r="AA159" s="24">
        <f t="shared" si="38"/>
        <v>40874.94</v>
      </c>
      <c r="AB159" s="24"/>
      <c r="AC159" s="24">
        <f aca="true" t="shared" si="51" ref="AC159:AC222">D159*0.49*12</f>
        <v>15526.14</v>
      </c>
      <c r="AD159" s="26">
        <f t="shared" si="39"/>
        <v>7395.8</v>
      </c>
      <c r="AE159" s="8">
        <v>30104.09</v>
      </c>
      <c r="AF159" s="8">
        <v>1737.94</v>
      </c>
      <c r="AG159" s="26">
        <f>SUM(AE159:AF159)</f>
        <v>31842.03</v>
      </c>
      <c r="AH159" s="24">
        <f t="shared" si="40"/>
        <v>37389.479999999996</v>
      </c>
      <c r="AI159" s="24"/>
      <c r="AJ159" s="24">
        <f t="shared" si="49"/>
        <v>437936.86</v>
      </c>
    </row>
    <row r="160" spans="1:36" ht="15.75">
      <c r="A160" s="3" t="s">
        <v>112</v>
      </c>
      <c r="B160" s="4" t="s">
        <v>13</v>
      </c>
      <c r="C160" s="3" t="s">
        <v>2</v>
      </c>
      <c r="D160" s="18">
        <v>3226.8</v>
      </c>
      <c r="E160" s="11">
        <f t="shared" si="41"/>
        <v>13939.775999999998</v>
      </c>
      <c r="F160" s="11">
        <f t="shared" si="42"/>
        <v>46078.704</v>
      </c>
      <c r="G160" s="11">
        <f t="shared" si="43"/>
        <v>45691.488</v>
      </c>
      <c r="H160" s="11">
        <f t="shared" si="44"/>
        <v>10067.616000000002</v>
      </c>
      <c r="I160" s="11">
        <f t="shared" si="45"/>
        <v>2323.2960000000003</v>
      </c>
      <c r="J160" s="11">
        <f t="shared" si="46"/>
        <v>6969.887999999999</v>
      </c>
      <c r="K160" s="11">
        <f>60*8+60*6*2</f>
        <v>1200</v>
      </c>
      <c r="L160" s="8">
        <f>144.73*70</f>
        <v>10131.099999999999</v>
      </c>
      <c r="M160" s="8"/>
      <c r="N160" s="8"/>
      <c r="O160" s="16">
        <f t="shared" si="36"/>
        <v>8873.7</v>
      </c>
      <c r="P160" s="24">
        <f t="shared" si="47"/>
        <v>145275.56800000003</v>
      </c>
      <c r="Q160" s="24">
        <f t="shared" si="50"/>
        <v>50757.564</v>
      </c>
      <c r="R160" s="26">
        <f t="shared" si="37"/>
        <v>119068.92000000003</v>
      </c>
      <c r="S160" s="11">
        <v>51800</v>
      </c>
      <c r="T160" s="11">
        <v>6890</v>
      </c>
      <c r="U160" s="11"/>
      <c r="V160" s="11"/>
      <c r="W160" s="11"/>
      <c r="X160" s="11"/>
      <c r="Y160" s="11"/>
      <c r="Z160" s="24">
        <f t="shared" si="48"/>
        <v>58690</v>
      </c>
      <c r="AA160" s="24">
        <f t="shared" si="38"/>
        <v>49950.864</v>
      </c>
      <c r="AB160" s="24"/>
      <c r="AC160" s="24">
        <f t="shared" si="51"/>
        <v>18973.584000000003</v>
      </c>
      <c r="AD160" s="26">
        <f t="shared" si="39"/>
        <v>9037.44</v>
      </c>
      <c r="AE160" s="8"/>
      <c r="AF160" s="8"/>
      <c r="AG160" s="26"/>
      <c r="AH160" s="24">
        <f t="shared" si="40"/>
        <v>45691.488</v>
      </c>
      <c r="AI160" s="24"/>
      <c r="AJ160" s="24">
        <f t="shared" si="49"/>
        <v>497445.42800000013</v>
      </c>
    </row>
    <row r="161" spans="1:36" ht="15.75">
      <c r="A161" s="3" t="s">
        <v>112</v>
      </c>
      <c r="B161" s="4" t="s">
        <v>13</v>
      </c>
      <c r="C161" s="3" t="s">
        <v>110</v>
      </c>
      <c r="D161" s="18">
        <v>3243.9</v>
      </c>
      <c r="E161" s="11">
        <f t="shared" si="41"/>
        <v>14013.648000000001</v>
      </c>
      <c r="F161" s="11">
        <f t="shared" si="42"/>
        <v>46322.892</v>
      </c>
      <c r="G161" s="11">
        <f t="shared" si="43"/>
        <v>45933.623999999996</v>
      </c>
      <c r="H161" s="11">
        <f t="shared" si="44"/>
        <v>10120.968</v>
      </c>
      <c r="I161" s="11">
        <f t="shared" si="45"/>
        <v>2335.6079999999997</v>
      </c>
      <c r="J161" s="11">
        <f t="shared" si="46"/>
        <v>7006.8240000000005</v>
      </c>
      <c r="K161" s="11">
        <f>60*6*2</f>
        <v>720</v>
      </c>
      <c r="L161" s="8">
        <f>144.73*2</f>
        <v>289.46</v>
      </c>
      <c r="M161" s="8"/>
      <c r="N161" s="8"/>
      <c r="O161" s="16">
        <f t="shared" si="36"/>
        <v>8920.725</v>
      </c>
      <c r="P161" s="24">
        <f t="shared" si="47"/>
        <v>135663.74899999998</v>
      </c>
      <c r="Q161" s="24">
        <f t="shared" si="50"/>
        <v>51026.547000000006</v>
      </c>
      <c r="R161" s="26">
        <f t="shared" si="37"/>
        <v>119699.91</v>
      </c>
      <c r="S161" s="11">
        <v>50190</v>
      </c>
      <c r="T161" s="11">
        <f>20*135</f>
        <v>2700</v>
      </c>
      <c r="U161" s="11">
        <v>1572</v>
      </c>
      <c r="V161" s="11"/>
      <c r="W161" s="11"/>
      <c r="X161" s="11"/>
      <c r="Y161" s="11"/>
      <c r="Z161" s="24">
        <f t="shared" si="48"/>
        <v>54462</v>
      </c>
      <c r="AA161" s="24">
        <f t="shared" si="38"/>
        <v>50215.572</v>
      </c>
      <c r="AB161" s="24"/>
      <c r="AC161" s="24">
        <f t="shared" si="51"/>
        <v>19074.131999999998</v>
      </c>
      <c r="AD161" s="26">
        <f t="shared" si="39"/>
        <v>9085.320000000002</v>
      </c>
      <c r="AE161" s="8"/>
      <c r="AF161" s="8"/>
      <c r="AG161" s="26"/>
      <c r="AH161" s="24">
        <f t="shared" si="40"/>
        <v>45933.623999999996</v>
      </c>
      <c r="AI161" s="24"/>
      <c r="AJ161" s="24">
        <f t="shared" si="49"/>
        <v>485160.854</v>
      </c>
    </row>
    <row r="162" spans="1:36" ht="15.75">
      <c r="A162" s="3" t="s">
        <v>112</v>
      </c>
      <c r="B162" s="4" t="s">
        <v>15</v>
      </c>
      <c r="C162" s="3" t="s">
        <v>2</v>
      </c>
      <c r="D162" s="18">
        <v>3253.4</v>
      </c>
      <c r="E162" s="11">
        <f t="shared" si="41"/>
        <v>14054.687999999998</v>
      </c>
      <c r="F162" s="11">
        <f t="shared" si="42"/>
        <v>46458.551999999996</v>
      </c>
      <c r="G162" s="11">
        <f t="shared" si="43"/>
        <v>46068.144</v>
      </c>
      <c r="H162" s="11">
        <f t="shared" si="44"/>
        <v>10150.608</v>
      </c>
      <c r="I162" s="11">
        <f t="shared" si="45"/>
        <v>2342.4480000000003</v>
      </c>
      <c r="J162" s="11">
        <f t="shared" si="46"/>
        <v>7027.343999999999</v>
      </c>
      <c r="K162" s="11">
        <f>60*6*2</f>
        <v>720</v>
      </c>
      <c r="L162" s="8">
        <f>144.73*70</f>
        <v>10131.099999999999</v>
      </c>
      <c r="M162" s="8"/>
      <c r="N162" s="8"/>
      <c r="O162" s="16">
        <f t="shared" si="36"/>
        <v>8946.85</v>
      </c>
      <c r="P162" s="24">
        <f t="shared" si="47"/>
        <v>145899.734</v>
      </c>
      <c r="Q162" s="24">
        <f t="shared" si="50"/>
        <v>51175.982</v>
      </c>
      <c r="R162" s="26">
        <f t="shared" si="37"/>
        <v>120050.46000000002</v>
      </c>
      <c r="S162" s="11">
        <v>30400</v>
      </c>
      <c r="T162" s="11">
        <v>27000</v>
      </c>
      <c r="U162" s="11"/>
      <c r="V162" s="11"/>
      <c r="W162" s="11"/>
      <c r="X162" s="11"/>
      <c r="Y162" s="11"/>
      <c r="Z162" s="24">
        <f t="shared" si="48"/>
        <v>57400</v>
      </c>
      <c r="AA162" s="24">
        <f t="shared" si="38"/>
        <v>50362.632000000005</v>
      </c>
      <c r="AB162" s="24"/>
      <c r="AC162" s="24">
        <f t="shared" si="51"/>
        <v>19129.992</v>
      </c>
      <c r="AD162" s="26">
        <f t="shared" si="39"/>
        <v>9111.92</v>
      </c>
      <c r="AE162" s="8"/>
      <c r="AF162" s="8"/>
      <c r="AG162" s="26"/>
      <c r="AH162" s="24">
        <f t="shared" si="40"/>
        <v>46068.144</v>
      </c>
      <c r="AI162" s="24"/>
      <c r="AJ162" s="24">
        <f t="shared" si="49"/>
        <v>499198.86400000006</v>
      </c>
    </row>
    <row r="163" spans="1:36" ht="15.75">
      <c r="A163" s="3" t="s">
        <v>112</v>
      </c>
      <c r="B163" s="4" t="s">
        <v>17</v>
      </c>
      <c r="C163" s="3" t="s">
        <v>2</v>
      </c>
      <c r="D163" s="18">
        <v>15643.7</v>
      </c>
      <c r="E163" s="11">
        <f t="shared" si="41"/>
        <v>67580.784</v>
      </c>
      <c r="F163" s="11">
        <f t="shared" si="42"/>
        <v>223392.03600000002</v>
      </c>
      <c r="G163" s="11">
        <f t="shared" si="43"/>
        <v>221514.792</v>
      </c>
      <c r="H163" s="11">
        <f t="shared" si="44"/>
        <v>48808.344000000005</v>
      </c>
      <c r="I163" s="11">
        <f t="shared" si="45"/>
        <v>11263.464</v>
      </c>
      <c r="J163" s="11">
        <f t="shared" si="46"/>
        <v>33790.392</v>
      </c>
      <c r="K163" s="11">
        <f>275*6*2</f>
        <v>3300</v>
      </c>
      <c r="L163" s="8">
        <f>144.79*297</f>
        <v>43002.63</v>
      </c>
      <c r="M163" s="8">
        <f>9*142.42*1.5</f>
        <v>1922.67</v>
      </c>
      <c r="N163" s="8"/>
      <c r="O163" s="16">
        <f t="shared" si="36"/>
        <v>43020.17500000001</v>
      </c>
      <c r="P163" s="24">
        <f t="shared" si="47"/>
        <v>697595.2870000001</v>
      </c>
      <c r="Q163" s="24">
        <f t="shared" si="50"/>
        <v>246075.401</v>
      </c>
      <c r="R163" s="26">
        <f t="shared" si="37"/>
        <v>577252.5300000001</v>
      </c>
      <c r="S163" s="11"/>
      <c r="T163" s="11"/>
      <c r="U163" s="11">
        <v>1571</v>
      </c>
      <c r="V163" s="11"/>
      <c r="W163" s="11"/>
      <c r="X163" s="11"/>
      <c r="Y163" s="11"/>
      <c r="Z163" s="24">
        <f t="shared" si="48"/>
        <v>1571</v>
      </c>
      <c r="AA163" s="24">
        <f t="shared" si="38"/>
        <v>242164.47600000002</v>
      </c>
      <c r="AB163" s="24">
        <f>D163*1.01*5+0.96*D163*7</f>
        <v>184126.349</v>
      </c>
      <c r="AC163" s="24">
        <f t="shared" si="51"/>
        <v>91984.956</v>
      </c>
      <c r="AD163" s="26">
        <f t="shared" si="39"/>
        <v>43804.76</v>
      </c>
      <c r="AE163" s="8">
        <v>259738.51</v>
      </c>
      <c r="AF163" s="8">
        <v>15641.45</v>
      </c>
      <c r="AG163" s="26">
        <f>SUM(AE163:AF163)</f>
        <v>275379.96</v>
      </c>
      <c r="AH163" s="24">
        <f t="shared" si="40"/>
        <v>221514.792</v>
      </c>
      <c r="AI163" s="24"/>
      <c r="AJ163" s="24">
        <f t="shared" si="49"/>
        <v>2581469.5110000004</v>
      </c>
    </row>
    <row r="164" spans="1:36" ht="15.75">
      <c r="A164" s="3" t="s">
        <v>112</v>
      </c>
      <c r="B164" s="4" t="s">
        <v>21</v>
      </c>
      <c r="C164" s="3" t="s">
        <v>65</v>
      </c>
      <c r="D164" s="18">
        <v>3124</v>
      </c>
      <c r="E164" s="11">
        <f t="shared" si="41"/>
        <v>13495.679999999998</v>
      </c>
      <c r="F164" s="11">
        <f t="shared" si="42"/>
        <v>44610.72</v>
      </c>
      <c r="G164" s="11">
        <f t="shared" si="43"/>
        <v>44235.84</v>
      </c>
      <c r="H164" s="11">
        <f t="shared" si="44"/>
        <v>9746.880000000001</v>
      </c>
      <c r="I164" s="11">
        <f t="shared" si="45"/>
        <v>2249.2799999999997</v>
      </c>
      <c r="J164" s="11">
        <f t="shared" si="46"/>
        <v>6747.839999999999</v>
      </c>
      <c r="K164" s="11">
        <f>144*6</f>
        <v>864</v>
      </c>
      <c r="L164" s="8">
        <f>144.79*80</f>
        <v>11583.199999999999</v>
      </c>
      <c r="M164" s="8">
        <f>2*142.42*1.5</f>
        <v>427.26</v>
      </c>
      <c r="N164" s="8"/>
      <c r="O164" s="16">
        <f t="shared" si="36"/>
        <v>8591</v>
      </c>
      <c r="P164" s="24">
        <f t="shared" si="47"/>
        <v>142551.7</v>
      </c>
      <c r="Q164" s="24">
        <f t="shared" si="50"/>
        <v>49140.520000000004</v>
      </c>
      <c r="R164" s="26">
        <f t="shared" si="37"/>
        <v>115275.6</v>
      </c>
      <c r="S164" s="11">
        <v>16953</v>
      </c>
      <c r="T164" s="11">
        <v>40800</v>
      </c>
      <c r="U164" s="11"/>
      <c r="V164" s="11"/>
      <c r="W164" s="11"/>
      <c r="X164" s="11">
        <v>92200</v>
      </c>
      <c r="Y164" s="11"/>
      <c r="Z164" s="24">
        <f t="shared" si="48"/>
        <v>149953</v>
      </c>
      <c r="AA164" s="24">
        <f t="shared" si="38"/>
        <v>48359.520000000004</v>
      </c>
      <c r="AB164" s="24"/>
      <c r="AC164" s="24">
        <f t="shared" si="51"/>
        <v>18369.12</v>
      </c>
      <c r="AD164" s="26">
        <f t="shared" si="39"/>
        <v>8749.6</v>
      </c>
      <c r="AE164" s="8">
        <v>60208.18</v>
      </c>
      <c r="AF164" s="8">
        <v>3475.88</v>
      </c>
      <c r="AG164" s="26">
        <f>SUM(AE164:AF164)</f>
        <v>63684.06</v>
      </c>
      <c r="AH164" s="24">
        <f t="shared" si="40"/>
        <v>44235.84</v>
      </c>
      <c r="AI164" s="24"/>
      <c r="AJ164" s="24">
        <f t="shared" si="49"/>
        <v>640318.9600000001</v>
      </c>
    </row>
    <row r="165" spans="1:36" ht="15.75">
      <c r="A165" s="3" t="s">
        <v>112</v>
      </c>
      <c r="B165" s="4" t="s">
        <v>21</v>
      </c>
      <c r="C165" s="3" t="s">
        <v>110</v>
      </c>
      <c r="D165" s="19">
        <v>3148.3</v>
      </c>
      <c r="E165" s="11">
        <f t="shared" si="41"/>
        <v>13600.655999999999</v>
      </c>
      <c r="F165" s="11">
        <f t="shared" si="42"/>
        <v>44957.724</v>
      </c>
      <c r="G165" s="11">
        <f t="shared" si="43"/>
        <v>44579.928</v>
      </c>
      <c r="H165" s="11">
        <f t="shared" si="44"/>
        <v>9822.696000000002</v>
      </c>
      <c r="I165" s="11">
        <f t="shared" si="45"/>
        <v>2266.776</v>
      </c>
      <c r="J165" s="11">
        <f t="shared" si="46"/>
        <v>6800.3279999999995</v>
      </c>
      <c r="K165" s="11">
        <f>108*6</f>
        <v>648</v>
      </c>
      <c r="L165" s="8">
        <f>144.79*62</f>
        <v>8976.98</v>
      </c>
      <c r="M165" s="8">
        <f>2*142.42*1.5</f>
        <v>427.26</v>
      </c>
      <c r="N165" s="8"/>
      <c r="O165" s="16">
        <f t="shared" si="36"/>
        <v>8657.825</v>
      </c>
      <c r="P165" s="24">
        <f t="shared" si="47"/>
        <v>140738.173</v>
      </c>
      <c r="Q165" s="24">
        <f t="shared" si="50"/>
        <v>49522.759000000005</v>
      </c>
      <c r="R165" s="26">
        <f t="shared" si="37"/>
        <v>116172.27000000002</v>
      </c>
      <c r="S165" s="11">
        <v>38051</v>
      </c>
      <c r="T165" s="11">
        <v>24300</v>
      </c>
      <c r="U165" s="11"/>
      <c r="V165" s="11"/>
      <c r="W165" s="11"/>
      <c r="X165" s="11">
        <v>57200</v>
      </c>
      <c r="Y165" s="11"/>
      <c r="Z165" s="24">
        <f t="shared" si="48"/>
        <v>119551</v>
      </c>
      <c r="AA165" s="24">
        <f t="shared" si="38"/>
        <v>48735.684</v>
      </c>
      <c r="AB165" s="24"/>
      <c r="AC165" s="24">
        <f t="shared" si="51"/>
        <v>18512.004</v>
      </c>
      <c r="AD165" s="26">
        <f t="shared" si="39"/>
        <v>8817.640000000001</v>
      </c>
      <c r="AE165" s="8">
        <v>60208.18</v>
      </c>
      <c r="AF165" s="8">
        <v>3475.88</v>
      </c>
      <c r="AG165" s="26">
        <f>SUM(AE165:AF165)</f>
        <v>63684.06</v>
      </c>
      <c r="AH165" s="24">
        <f t="shared" si="40"/>
        <v>44579.928</v>
      </c>
      <c r="AI165" s="24"/>
      <c r="AJ165" s="24">
        <f t="shared" si="49"/>
        <v>610313.518</v>
      </c>
    </row>
    <row r="166" spans="1:36" ht="15.75">
      <c r="A166" s="3" t="s">
        <v>112</v>
      </c>
      <c r="B166" s="4" t="s">
        <v>21</v>
      </c>
      <c r="C166" s="3" t="s">
        <v>113</v>
      </c>
      <c r="D166" s="19">
        <v>1563.4</v>
      </c>
      <c r="E166" s="11">
        <f t="shared" si="41"/>
        <v>6753.887999999999</v>
      </c>
      <c r="F166" s="11">
        <f t="shared" si="42"/>
        <v>22325.352</v>
      </c>
      <c r="G166" s="11">
        <f t="shared" si="43"/>
        <v>22137.744</v>
      </c>
      <c r="H166" s="11">
        <f t="shared" si="44"/>
        <v>4877.808000000001</v>
      </c>
      <c r="I166" s="11">
        <f t="shared" si="45"/>
        <v>1125.6480000000001</v>
      </c>
      <c r="J166" s="11">
        <f t="shared" si="46"/>
        <v>3376.9439999999995</v>
      </c>
      <c r="K166" s="11">
        <f>72*6</f>
        <v>432</v>
      </c>
      <c r="L166" s="8">
        <f>144.79*42</f>
        <v>6081.179999999999</v>
      </c>
      <c r="M166" s="8">
        <f>1*142.42*1.5</f>
        <v>213.63</v>
      </c>
      <c r="N166" s="8"/>
      <c r="O166" s="16">
        <f t="shared" si="36"/>
        <v>4299.35</v>
      </c>
      <c r="P166" s="24">
        <f t="shared" si="47"/>
        <v>71623.54400000001</v>
      </c>
      <c r="Q166" s="24">
        <f t="shared" si="50"/>
        <v>24592.282000000003</v>
      </c>
      <c r="R166" s="26">
        <f t="shared" si="37"/>
        <v>57689.460000000014</v>
      </c>
      <c r="S166" s="11"/>
      <c r="T166" s="11">
        <v>59400</v>
      </c>
      <c r="U166" s="11"/>
      <c r="V166" s="11"/>
      <c r="W166" s="11"/>
      <c r="X166" s="11">
        <v>128200</v>
      </c>
      <c r="Y166" s="11"/>
      <c r="Z166" s="24">
        <f t="shared" si="48"/>
        <v>187600</v>
      </c>
      <c r="AA166" s="24">
        <f t="shared" si="38"/>
        <v>24201.432000000004</v>
      </c>
      <c r="AB166" s="24"/>
      <c r="AC166" s="24">
        <f t="shared" si="51"/>
        <v>9192.792000000001</v>
      </c>
      <c r="AD166" s="26">
        <f t="shared" si="39"/>
        <v>4379.92</v>
      </c>
      <c r="AE166" s="8">
        <v>30104.09</v>
      </c>
      <c r="AF166" s="8">
        <v>1737.94</v>
      </c>
      <c r="AG166" s="26">
        <f>SUM(AE166:AF166)</f>
        <v>31842.03</v>
      </c>
      <c r="AH166" s="24">
        <f t="shared" si="40"/>
        <v>22137.744</v>
      </c>
      <c r="AI166" s="24"/>
      <c r="AJ166" s="24">
        <f t="shared" si="49"/>
        <v>433259.2040000001</v>
      </c>
    </row>
    <row r="167" spans="1:36" ht="15.75">
      <c r="A167" s="3" t="s">
        <v>112</v>
      </c>
      <c r="B167" s="4" t="s">
        <v>83</v>
      </c>
      <c r="C167" s="3" t="s">
        <v>65</v>
      </c>
      <c r="D167" s="19">
        <v>17400.5</v>
      </c>
      <c r="E167" s="11">
        <f t="shared" si="41"/>
        <v>75170.15999999999</v>
      </c>
      <c r="F167" s="11">
        <f t="shared" si="42"/>
        <v>248479.13999999996</v>
      </c>
      <c r="G167" s="11">
        <f t="shared" si="43"/>
        <v>246391.08000000002</v>
      </c>
      <c r="H167" s="11">
        <f t="shared" si="44"/>
        <v>54289.56</v>
      </c>
      <c r="I167" s="11">
        <f t="shared" si="45"/>
        <v>12528.36</v>
      </c>
      <c r="J167" s="11">
        <f t="shared" si="46"/>
        <v>37585.079999999994</v>
      </c>
      <c r="K167" s="11">
        <f>358*6*2</f>
        <v>4296</v>
      </c>
      <c r="L167" s="8">
        <f>144.73*2</f>
        <v>289.46</v>
      </c>
      <c r="M167" s="8">
        <f>10*142.42*1.5</f>
        <v>2136.2999999999997</v>
      </c>
      <c r="N167" s="8"/>
      <c r="O167" s="16">
        <f t="shared" si="36"/>
        <v>47851.37500000001</v>
      </c>
      <c r="P167" s="24">
        <f t="shared" si="47"/>
        <v>729016.5149999999</v>
      </c>
      <c r="Q167" s="24">
        <f t="shared" si="50"/>
        <v>273709.865</v>
      </c>
      <c r="R167" s="26">
        <f t="shared" si="37"/>
        <v>642078.45</v>
      </c>
      <c r="S167" s="11">
        <v>113600</v>
      </c>
      <c r="T167" s="11">
        <v>55800</v>
      </c>
      <c r="U167" s="11">
        <v>15460</v>
      </c>
      <c r="V167" s="11"/>
      <c r="W167" s="11"/>
      <c r="X167" s="11"/>
      <c r="Y167" s="11"/>
      <c r="Z167" s="24">
        <f t="shared" si="48"/>
        <v>184860</v>
      </c>
      <c r="AA167" s="24">
        <f t="shared" si="38"/>
        <v>269359.74</v>
      </c>
      <c r="AB167" s="24">
        <f>D167*1.01*5+0.96*D167*7</f>
        <v>204803.885</v>
      </c>
      <c r="AC167" s="24">
        <f t="shared" si="51"/>
        <v>102314.93999999999</v>
      </c>
      <c r="AD167" s="26">
        <f t="shared" si="39"/>
        <v>48723.80000000001</v>
      </c>
      <c r="AE167" s="8">
        <v>301040.89</v>
      </c>
      <c r="AF167" s="11">
        <v>17379.4</v>
      </c>
      <c r="AG167" s="26">
        <f>SUM(AE167:AF167)</f>
        <v>318420.29000000004</v>
      </c>
      <c r="AH167" s="24">
        <f t="shared" si="40"/>
        <v>246391.08000000002</v>
      </c>
      <c r="AI167" s="24"/>
      <c r="AJ167" s="24">
        <f t="shared" si="49"/>
        <v>3019678.565</v>
      </c>
    </row>
    <row r="168" spans="1:36" ht="15.75">
      <c r="A168" s="3" t="s">
        <v>112</v>
      </c>
      <c r="B168" s="4" t="s">
        <v>83</v>
      </c>
      <c r="C168" s="3" t="s">
        <v>110</v>
      </c>
      <c r="D168" s="19">
        <v>3444</v>
      </c>
      <c r="E168" s="11">
        <f t="shared" si="41"/>
        <v>14878.079999999998</v>
      </c>
      <c r="F168" s="11">
        <f t="shared" si="42"/>
        <v>49180.31999999999</v>
      </c>
      <c r="G168" s="11">
        <f t="shared" si="43"/>
        <v>48767.03999999999</v>
      </c>
      <c r="H168" s="11">
        <f t="shared" si="44"/>
        <v>10745.28</v>
      </c>
      <c r="I168" s="11">
        <f t="shared" si="45"/>
        <v>2479.68</v>
      </c>
      <c r="J168" s="11">
        <f t="shared" si="46"/>
        <v>7439.039999999999</v>
      </c>
      <c r="K168" s="11">
        <f>75*6*2</f>
        <v>900</v>
      </c>
      <c r="L168" s="8">
        <f>144.79*87</f>
        <v>12596.73</v>
      </c>
      <c r="M168" s="8"/>
      <c r="N168" s="8"/>
      <c r="O168" s="16">
        <f t="shared" si="36"/>
        <v>9471</v>
      </c>
      <c r="P168" s="24">
        <f t="shared" si="47"/>
        <v>156457.16999999998</v>
      </c>
      <c r="Q168" s="24">
        <f t="shared" si="50"/>
        <v>54174.12</v>
      </c>
      <c r="R168" s="26">
        <f t="shared" si="37"/>
        <v>127083.6</v>
      </c>
      <c r="S168" s="11"/>
      <c r="T168" s="11">
        <v>60000</v>
      </c>
      <c r="U168" s="11">
        <v>340</v>
      </c>
      <c r="V168" s="11"/>
      <c r="W168" s="11"/>
      <c r="X168" s="11">
        <v>88200</v>
      </c>
      <c r="Y168" s="11"/>
      <c r="Z168" s="24">
        <f t="shared" si="48"/>
        <v>148540</v>
      </c>
      <c r="AA168" s="24">
        <f t="shared" si="38"/>
        <v>53313.12</v>
      </c>
      <c r="AB168" s="24"/>
      <c r="AC168" s="24">
        <f t="shared" si="51"/>
        <v>20250.72</v>
      </c>
      <c r="AD168" s="26">
        <f t="shared" si="39"/>
        <v>9645.6</v>
      </c>
      <c r="AE168" s="8"/>
      <c r="AF168" s="8"/>
      <c r="AG168" s="26"/>
      <c r="AH168" s="24">
        <f t="shared" si="40"/>
        <v>48767.03999999999</v>
      </c>
      <c r="AI168" s="24"/>
      <c r="AJ168" s="24">
        <f t="shared" si="49"/>
        <v>618231.37</v>
      </c>
    </row>
    <row r="169" spans="1:36" ht="15.75">
      <c r="A169" s="3" t="s">
        <v>112</v>
      </c>
      <c r="B169" s="4" t="s">
        <v>83</v>
      </c>
      <c r="C169" s="3" t="s">
        <v>113</v>
      </c>
      <c r="D169" s="18">
        <v>3498.3</v>
      </c>
      <c r="E169" s="11">
        <f t="shared" si="41"/>
        <v>15112.655999999999</v>
      </c>
      <c r="F169" s="11">
        <f t="shared" si="42"/>
        <v>49955.724</v>
      </c>
      <c r="G169" s="11">
        <f t="shared" si="43"/>
        <v>49535.928</v>
      </c>
      <c r="H169" s="11">
        <f t="shared" si="44"/>
        <v>10914.696000000002</v>
      </c>
      <c r="I169" s="11">
        <f t="shared" si="45"/>
        <v>2518.776</v>
      </c>
      <c r="J169" s="11">
        <f t="shared" si="46"/>
        <v>7556.3279999999995</v>
      </c>
      <c r="K169" s="11">
        <f>75*6*2</f>
        <v>900</v>
      </c>
      <c r="L169" s="8">
        <f>144.79*87</f>
        <v>12596.73</v>
      </c>
      <c r="M169" s="8"/>
      <c r="N169" s="8"/>
      <c r="O169" s="16">
        <f t="shared" si="36"/>
        <v>9620.325</v>
      </c>
      <c r="P169" s="24">
        <f t="shared" si="47"/>
        <v>158711.16300000003</v>
      </c>
      <c r="Q169" s="24">
        <f t="shared" si="50"/>
        <v>55028.259000000005</v>
      </c>
      <c r="R169" s="26">
        <f t="shared" si="37"/>
        <v>129087.27000000002</v>
      </c>
      <c r="S169" s="11"/>
      <c r="T169" s="11">
        <v>9000</v>
      </c>
      <c r="U169" s="11"/>
      <c r="V169" s="11"/>
      <c r="W169" s="11"/>
      <c r="X169" s="11"/>
      <c r="Y169" s="11"/>
      <c r="Z169" s="24">
        <f t="shared" si="48"/>
        <v>9000</v>
      </c>
      <c r="AA169" s="24">
        <f t="shared" si="38"/>
        <v>54153.68400000001</v>
      </c>
      <c r="AB169" s="24"/>
      <c r="AC169" s="24">
        <f t="shared" si="51"/>
        <v>20570.004</v>
      </c>
      <c r="AD169" s="26">
        <f t="shared" si="39"/>
        <v>9797.640000000001</v>
      </c>
      <c r="AE169" s="8"/>
      <c r="AF169" s="8"/>
      <c r="AG169" s="26"/>
      <c r="AH169" s="24">
        <f t="shared" si="40"/>
        <v>49535.928</v>
      </c>
      <c r="AI169" s="24"/>
      <c r="AJ169" s="24">
        <f t="shared" si="49"/>
        <v>485883.9480000001</v>
      </c>
    </row>
    <row r="170" spans="1:36" ht="15.75">
      <c r="A170" s="3" t="s">
        <v>112</v>
      </c>
      <c r="B170" s="4" t="s">
        <v>114</v>
      </c>
      <c r="C170" s="3" t="s">
        <v>110</v>
      </c>
      <c r="D170" s="18">
        <v>14099.8</v>
      </c>
      <c r="E170" s="11">
        <f t="shared" si="41"/>
        <v>60911.136</v>
      </c>
      <c r="F170" s="11">
        <f t="shared" si="42"/>
        <v>201345.14399999997</v>
      </c>
      <c r="G170" s="11">
        <f t="shared" si="43"/>
        <v>199653.168</v>
      </c>
      <c r="H170" s="11">
        <f t="shared" si="44"/>
        <v>43991.376</v>
      </c>
      <c r="I170" s="11">
        <f t="shared" si="45"/>
        <v>10151.856</v>
      </c>
      <c r="J170" s="11">
        <f t="shared" si="46"/>
        <v>30455.568</v>
      </c>
      <c r="K170" s="11">
        <f>287*6*2</f>
        <v>3444</v>
      </c>
      <c r="L170" s="8">
        <f>144.73*2</f>
        <v>289.46</v>
      </c>
      <c r="M170" s="8">
        <f>8*142.42*1.5</f>
        <v>1709.04</v>
      </c>
      <c r="N170" s="8"/>
      <c r="O170" s="16">
        <f t="shared" si="36"/>
        <v>38774.450000000004</v>
      </c>
      <c r="P170" s="24">
        <f t="shared" si="47"/>
        <v>590725.1979999999</v>
      </c>
      <c r="Q170" s="24">
        <f t="shared" si="50"/>
        <v>221789.854</v>
      </c>
      <c r="R170" s="26">
        <f t="shared" si="37"/>
        <v>520282.61999999994</v>
      </c>
      <c r="S170" s="11">
        <v>113600</v>
      </c>
      <c r="T170" s="11">
        <f>350*135</f>
        <v>47250</v>
      </c>
      <c r="U170" s="11">
        <v>2892</v>
      </c>
      <c r="V170" s="11"/>
      <c r="W170" s="11"/>
      <c r="X170" s="11"/>
      <c r="Y170" s="11"/>
      <c r="Z170" s="24">
        <f t="shared" si="48"/>
        <v>163742</v>
      </c>
      <c r="AA170" s="24">
        <f t="shared" si="38"/>
        <v>218264.90399999998</v>
      </c>
      <c r="AB170" s="24">
        <f>D170*1.01*5+0.96*D170*7</f>
        <v>165954.64599999998</v>
      </c>
      <c r="AC170" s="24">
        <f t="shared" si="51"/>
        <v>82906.824</v>
      </c>
      <c r="AD170" s="26">
        <f t="shared" si="39"/>
        <v>39481.840000000004</v>
      </c>
      <c r="AE170" s="8">
        <v>240832.71</v>
      </c>
      <c r="AF170" s="8">
        <v>13903.52</v>
      </c>
      <c r="AG170" s="26">
        <f>SUM(AE170:AF170)</f>
        <v>254736.22999999998</v>
      </c>
      <c r="AH170" s="24">
        <f t="shared" si="40"/>
        <v>199653.168</v>
      </c>
      <c r="AI170" s="24"/>
      <c r="AJ170" s="24">
        <f t="shared" si="49"/>
        <v>2457537.284</v>
      </c>
    </row>
    <row r="171" spans="1:36" ht="15.75">
      <c r="A171" s="3" t="s">
        <v>112</v>
      </c>
      <c r="B171" s="4" t="s">
        <v>27</v>
      </c>
      <c r="C171" s="3" t="s">
        <v>65</v>
      </c>
      <c r="D171" s="18">
        <v>2152.2</v>
      </c>
      <c r="E171" s="11">
        <f t="shared" si="41"/>
        <v>9297.503999999999</v>
      </c>
      <c r="F171" s="11">
        <f t="shared" si="42"/>
        <v>30733.415999999994</v>
      </c>
      <c r="G171" s="11">
        <f t="shared" si="43"/>
        <v>30475.151999999995</v>
      </c>
      <c r="H171" s="11">
        <f t="shared" si="44"/>
        <v>6714.864</v>
      </c>
      <c r="I171" s="11">
        <f t="shared" si="45"/>
        <v>1549.5839999999998</v>
      </c>
      <c r="J171" s="11">
        <f t="shared" si="46"/>
        <v>4648.7519999999995</v>
      </c>
      <c r="K171" s="11">
        <f>72*6</f>
        <v>432</v>
      </c>
      <c r="L171" s="8">
        <f>144.73*42</f>
        <v>6078.66</v>
      </c>
      <c r="M171" s="8">
        <f>1*142.42*1.5</f>
        <v>213.63</v>
      </c>
      <c r="N171" s="8"/>
      <c r="O171" s="16">
        <f t="shared" si="36"/>
        <v>5918.55</v>
      </c>
      <c r="P171" s="24">
        <f t="shared" si="47"/>
        <v>96062.112</v>
      </c>
      <c r="Q171" s="24">
        <f t="shared" si="50"/>
        <v>33854.106</v>
      </c>
      <c r="R171" s="26">
        <f t="shared" si="37"/>
        <v>79416.18</v>
      </c>
      <c r="S171" s="11"/>
      <c r="T171" s="11">
        <v>88500</v>
      </c>
      <c r="U171" s="11"/>
      <c r="V171" s="11"/>
      <c r="W171" s="11"/>
      <c r="X171" s="11">
        <v>63300</v>
      </c>
      <c r="Y171" s="11"/>
      <c r="Z171" s="24">
        <f t="shared" si="48"/>
        <v>151800</v>
      </c>
      <c r="AA171" s="24">
        <f t="shared" si="38"/>
        <v>33316.056</v>
      </c>
      <c r="AB171" s="24"/>
      <c r="AC171" s="24">
        <f t="shared" si="51"/>
        <v>12654.936</v>
      </c>
      <c r="AD171" s="26">
        <f t="shared" si="39"/>
        <v>6028.5599999999995</v>
      </c>
      <c r="AE171" s="8">
        <v>30104.09</v>
      </c>
      <c r="AF171" s="8">
        <v>1737.94</v>
      </c>
      <c r="AG171" s="26">
        <f>SUM(AE171:AF171)</f>
        <v>31842.03</v>
      </c>
      <c r="AH171" s="24">
        <f t="shared" si="40"/>
        <v>30475.151999999995</v>
      </c>
      <c r="AI171" s="24"/>
      <c r="AJ171" s="24">
        <f t="shared" si="49"/>
        <v>475449.132</v>
      </c>
    </row>
    <row r="172" spans="1:36" ht="15.75">
      <c r="A172" s="3" t="s">
        <v>112</v>
      </c>
      <c r="B172" s="4" t="s">
        <v>27</v>
      </c>
      <c r="C172" s="3" t="s">
        <v>110</v>
      </c>
      <c r="D172" s="18">
        <v>1580.5</v>
      </c>
      <c r="E172" s="11">
        <f t="shared" si="41"/>
        <v>6827.76</v>
      </c>
      <c r="F172" s="11">
        <f t="shared" si="42"/>
        <v>22569.539999999997</v>
      </c>
      <c r="G172" s="11">
        <f t="shared" si="43"/>
        <v>22379.88</v>
      </c>
      <c r="H172" s="11">
        <f t="shared" si="44"/>
        <v>4931.16</v>
      </c>
      <c r="I172" s="11">
        <f t="shared" si="45"/>
        <v>1137.96</v>
      </c>
      <c r="J172" s="11">
        <f t="shared" si="46"/>
        <v>3413.88</v>
      </c>
      <c r="K172" s="11">
        <f>72*6</f>
        <v>432</v>
      </c>
      <c r="L172" s="8">
        <f>144.73*42</f>
        <v>6078.66</v>
      </c>
      <c r="M172" s="8">
        <f>1*142.42*1.5</f>
        <v>213.63</v>
      </c>
      <c r="N172" s="8"/>
      <c r="O172" s="16">
        <f t="shared" si="36"/>
        <v>4346.375</v>
      </c>
      <c r="P172" s="24">
        <f t="shared" si="47"/>
        <v>72330.845</v>
      </c>
      <c r="Q172" s="24">
        <f t="shared" si="50"/>
        <v>24861.265000000003</v>
      </c>
      <c r="R172" s="26">
        <f t="shared" si="37"/>
        <v>58320.450000000004</v>
      </c>
      <c r="S172" s="11">
        <v>1824</v>
      </c>
      <c r="T172" s="11">
        <v>28800</v>
      </c>
      <c r="U172" s="11"/>
      <c r="V172" s="11"/>
      <c r="W172" s="11"/>
      <c r="X172" s="11"/>
      <c r="Y172" s="11"/>
      <c r="Z172" s="24">
        <f t="shared" si="48"/>
        <v>30624</v>
      </c>
      <c r="AA172" s="24">
        <f t="shared" si="38"/>
        <v>24466.14</v>
      </c>
      <c r="AB172" s="24"/>
      <c r="AC172" s="24">
        <f t="shared" si="51"/>
        <v>9293.34</v>
      </c>
      <c r="AD172" s="26">
        <f t="shared" si="39"/>
        <v>4427.8</v>
      </c>
      <c r="AE172" s="8">
        <v>30104.09</v>
      </c>
      <c r="AF172" s="8">
        <v>1737.94</v>
      </c>
      <c r="AG172" s="26">
        <f>SUM(AE172:AF172)</f>
        <v>31842.03</v>
      </c>
      <c r="AH172" s="24">
        <f t="shared" si="40"/>
        <v>22379.88</v>
      </c>
      <c r="AI172" s="24"/>
      <c r="AJ172" s="24">
        <f t="shared" si="49"/>
        <v>278545.75</v>
      </c>
    </row>
    <row r="173" spans="1:36" ht="15.75">
      <c r="A173" s="5" t="s">
        <v>112</v>
      </c>
      <c r="B173" s="5" t="s">
        <v>27</v>
      </c>
      <c r="C173" s="5" t="s">
        <v>113</v>
      </c>
      <c r="D173" s="18">
        <v>4137.9</v>
      </c>
      <c r="E173" s="11">
        <f t="shared" si="41"/>
        <v>17875.727999999996</v>
      </c>
      <c r="F173" s="11">
        <f t="shared" si="42"/>
        <v>59089.212</v>
      </c>
      <c r="G173" s="11">
        <f t="shared" si="43"/>
        <v>58592.664</v>
      </c>
      <c r="H173" s="11">
        <f t="shared" si="44"/>
        <v>12910.248</v>
      </c>
      <c r="I173" s="11">
        <f t="shared" si="45"/>
        <v>2979.2879999999996</v>
      </c>
      <c r="J173" s="11">
        <f t="shared" si="46"/>
        <v>8937.863999999998</v>
      </c>
      <c r="K173" s="11">
        <f>72*6*2</f>
        <v>864</v>
      </c>
      <c r="L173" s="8">
        <f>144.73*2</f>
        <v>289.46</v>
      </c>
      <c r="M173" s="8"/>
      <c r="N173" s="8"/>
      <c r="O173" s="16">
        <f t="shared" si="36"/>
        <v>11379.224999999999</v>
      </c>
      <c r="P173" s="24">
        <f t="shared" si="47"/>
        <v>172917.68899999998</v>
      </c>
      <c r="Q173" s="24">
        <f t="shared" si="50"/>
        <v>65089.167</v>
      </c>
      <c r="R173" s="26">
        <f t="shared" si="37"/>
        <v>152688.51</v>
      </c>
      <c r="S173" s="11">
        <v>3108</v>
      </c>
      <c r="T173" s="11"/>
      <c r="U173" s="11"/>
      <c r="V173" s="11"/>
      <c r="W173" s="11"/>
      <c r="X173" s="11"/>
      <c r="Y173" s="11"/>
      <c r="Z173" s="24">
        <f t="shared" si="48"/>
        <v>3108</v>
      </c>
      <c r="AA173" s="24">
        <f t="shared" si="38"/>
        <v>64054.691999999995</v>
      </c>
      <c r="AB173" s="24"/>
      <c r="AC173" s="24">
        <f t="shared" si="51"/>
        <v>24330.851999999995</v>
      </c>
      <c r="AD173" s="26">
        <f t="shared" si="39"/>
        <v>11588.519999999999</v>
      </c>
      <c r="AE173" s="8">
        <v>60208.18</v>
      </c>
      <c r="AF173" s="8">
        <v>3475.88</v>
      </c>
      <c r="AG173" s="26">
        <f>SUM(AE173:AF173)</f>
        <v>63684.06</v>
      </c>
      <c r="AH173" s="24">
        <f t="shared" si="40"/>
        <v>58592.664</v>
      </c>
      <c r="AI173" s="24"/>
      <c r="AJ173" s="24">
        <f t="shared" si="49"/>
        <v>616054.154</v>
      </c>
    </row>
    <row r="174" spans="1:36" ht="15.75">
      <c r="A174" s="3" t="s">
        <v>112</v>
      </c>
      <c r="B174" s="4" t="s">
        <v>28</v>
      </c>
      <c r="C174" s="3" t="s">
        <v>113</v>
      </c>
      <c r="D174" s="18">
        <v>3468.1</v>
      </c>
      <c r="E174" s="11">
        <f t="shared" si="41"/>
        <v>14982.192</v>
      </c>
      <c r="F174" s="11">
        <f t="shared" si="42"/>
        <v>49524.46799999999</v>
      </c>
      <c r="G174" s="11">
        <f t="shared" si="43"/>
        <v>49108.295999999995</v>
      </c>
      <c r="H174" s="11">
        <f t="shared" si="44"/>
        <v>10820.472</v>
      </c>
      <c r="I174" s="11">
        <f t="shared" si="45"/>
        <v>2497.0319999999997</v>
      </c>
      <c r="J174" s="11">
        <f t="shared" si="46"/>
        <v>7491.096</v>
      </c>
      <c r="K174" s="11">
        <f>74*6*2</f>
        <v>888</v>
      </c>
      <c r="L174" s="8">
        <f>144.73*87</f>
        <v>12591.509999999998</v>
      </c>
      <c r="M174" s="8"/>
      <c r="N174" s="8"/>
      <c r="O174" s="16">
        <f t="shared" si="36"/>
        <v>9537.275000000001</v>
      </c>
      <c r="P174" s="24">
        <f t="shared" si="47"/>
        <v>157440.341</v>
      </c>
      <c r="Q174" s="24">
        <f t="shared" si="50"/>
        <v>54553.213</v>
      </c>
      <c r="R174" s="26">
        <f t="shared" si="37"/>
        <v>127972.89</v>
      </c>
      <c r="S174" s="11">
        <v>10524</v>
      </c>
      <c r="T174" s="11">
        <v>18000</v>
      </c>
      <c r="U174" s="11"/>
      <c r="V174" s="11"/>
      <c r="W174" s="11"/>
      <c r="X174" s="11">
        <v>46400</v>
      </c>
      <c r="Y174" s="11"/>
      <c r="Z174" s="24">
        <f t="shared" si="48"/>
        <v>74924</v>
      </c>
      <c r="AA174" s="24">
        <f t="shared" si="38"/>
        <v>53686.188</v>
      </c>
      <c r="AB174" s="24"/>
      <c r="AC174" s="24">
        <f t="shared" si="51"/>
        <v>20392.428</v>
      </c>
      <c r="AD174" s="26">
        <f t="shared" si="39"/>
        <v>9713.08</v>
      </c>
      <c r="AE174" s="8"/>
      <c r="AF174" s="8"/>
      <c r="AG174" s="26"/>
      <c r="AH174" s="24">
        <f t="shared" si="40"/>
        <v>49108.295999999995</v>
      </c>
      <c r="AI174" s="24"/>
      <c r="AJ174" s="24">
        <f t="shared" si="49"/>
        <v>547790.4360000001</v>
      </c>
    </row>
    <row r="175" spans="1:36" ht="15.75">
      <c r="A175" s="3" t="s">
        <v>112</v>
      </c>
      <c r="B175" s="4" t="s">
        <v>115</v>
      </c>
      <c r="C175" s="3" t="s">
        <v>2</v>
      </c>
      <c r="D175" s="18">
        <v>3750.7</v>
      </c>
      <c r="E175" s="11">
        <f t="shared" si="41"/>
        <v>16203.024</v>
      </c>
      <c r="F175" s="11">
        <f t="shared" si="42"/>
        <v>53559.996</v>
      </c>
      <c r="G175" s="11">
        <f t="shared" si="43"/>
        <v>53109.91199999999</v>
      </c>
      <c r="H175" s="11">
        <f t="shared" si="44"/>
        <v>11702.184000000001</v>
      </c>
      <c r="I175" s="11">
        <f t="shared" si="45"/>
        <v>2700.504</v>
      </c>
      <c r="J175" s="11">
        <f t="shared" si="46"/>
        <v>8101.512</v>
      </c>
      <c r="K175" s="11">
        <f>140*6</f>
        <v>840</v>
      </c>
      <c r="L175" s="8">
        <f>144.73*80</f>
        <v>11578.4</v>
      </c>
      <c r="M175" s="8">
        <f>2*142.42*1.5</f>
        <v>427.26</v>
      </c>
      <c r="N175" s="8"/>
      <c r="O175" s="16">
        <f t="shared" si="36"/>
        <v>10314.425000000001</v>
      </c>
      <c r="P175" s="24">
        <f t="shared" si="47"/>
        <v>168537.21699999998</v>
      </c>
      <c r="Q175" s="24">
        <f t="shared" si="50"/>
        <v>58998.511</v>
      </c>
      <c r="R175" s="26">
        <f t="shared" si="37"/>
        <v>138400.83</v>
      </c>
      <c r="S175" s="11">
        <v>27690</v>
      </c>
      <c r="T175" s="11">
        <v>14400</v>
      </c>
      <c r="U175" s="11"/>
      <c r="V175" s="11"/>
      <c r="W175" s="11"/>
      <c r="X175" s="11">
        <v>101300</v>
      </c>
      <c r="Y175" s="11"/>
      <c r="Z175" s="24">
        <f t="shared" si="48"/>
        <v>143390</v>
      </c>
      <c r="AA175" s="24">
        <f t="shared" si="38"/>
        <v>58060.836</v>
      </c>
      <c r="AB175" s="24"/>
      <c r="AC175" s="24">
        <f t="shared" si="51"/>
        <v>22054.115999999998</v>
      </c>
      <c r="AD175" s="26">
        <f t="shared" si="39"/>
        <v>10504.359999999999</v>
      </c>
      <c r="AE175" s="8">
        <v>60208.18</v>
      </c>
      <c r="AF175" s="8">
        <v>3475.88</v>
      </c>
      <c r="AG175" s="26">
        <f>SUM(AE175:AF175)</f>
        <v>63684.06</v>
      </c>
      <c r="AH175" s="24">
        <f t="shared" si="40"/>
        <v>53109.91199999999</v>
      </c>
      <c r="AI175" s="24">
        <v>57500</v>
      </c>
      <c r="AJ175" s="24">
        <f t="shared" si="49"/>
        <v>774239.842</v>
      </c>
    </row>
    <row r="176" spans="1:36" ht="15.75">
      <c r="A176" s="3" t="s">
        <v>112</v>
      </c>
      <c r="B176" s="4" t="s">
        <v>51</v>
      </c>
      <c r="C176" s="3" t="s">
        <v>65</v>
      </c>
      <c r="D176" s="18">
        <v>16013.7</v>
      </c>
      <c r="E176" s="11">
        <f t="shared" si="41"/>
        <v>69179.184</v>
      </c>
      <c r="F176" s="11">
        <f t="shared" si="42"/>
        <v>228675.636</v>
      </c>
      <c r="G176" s="11">
        <f t="shared" si="43"/>
        <v>226753.99200000003</v>
      </c>
      <c r="H176" s="11">
        <f t="shared" si="44"/>
        <v>49962.744</v>
      </c>
      <c r="I176" s="11">
        <f t="shared" si="45"/>
        <v>11529.864</v>
      </c>
      <c r="J176" s="11">
        <f t="shared" si="46"/>
        <v>34589.592</v>
      </c>
      <c r="K176" s="11">
        <f>323*6*2</f>
        <v>3876</v>
      </c>
      <c r="L176" s="8">
        <f>144.73*2</f>
        <v>289.46</v>
      </c>
      <c r="M176" s="8">
        <f>9*142.42*1.5</f>
        <v>1922.67</v>
      </c>
      <c r="N176" s="8"/>
      <c r="O176" s="16">
        <f t="shared" si="36"/>
        <v>44037.67500000001</v>
      </c>
      <c r="P176" s="24">
        <f t="shared" si="47"/>
        <v>670816.8169999999</v>
      </c>
      <c r="Q176" s="24">
        <f t="shared" si="50"/>
        <v>251895.50100000005</v>
      </c>
      <c r="R176" s="26">
        <f t="shared" si="37"/>
        <v>590905.53</v>
      </c>
      <c r="S176" s="11">
        <v>37310</v>
      </c>
      <c r="T176" s="11">
        <v>48000</v>
      </c>
      <c r="U176" s="11"/>
      <c r="V176" s="11"/>
      <c r="W176" s="11"/>
      <c r="X176" s="11">
        <v>194200</v>
      </c>
      <c r="Y176" s="11"/>
      <c r="Z176" s="24">
        <f t="shared" si="48"/>
        <v>279510</v>
      </c>
      <c r="AA176" s="24">
        <f t="shared" si="38"/>
        <v>247892.07600000003</v>
      </c>
      <c r="AB176" s="24">
        <f>D176*1.01*5+0.96*D176*7</f>
        <v>188481.249</v>
      </c>
      <c r="AC176" s="24">
        <f t="shared" si="51"/>
        <v>94160.55600000001</v>
      </c>
      <c r="AD176" s="26">
        <f t="shared" si="39"/>
        <v>44840.76</v>
      </c>
      <c r="AE176" s="8">
        <v>270936.8</v>
      </c>
      <c r="AF176" s="8">
        <v>15641.45</v>
      </c>
      <c r="AG176" s="26">
        <f>SUM(AE176:AF176)</f>
        <v>286578.25</v>
      </c>
      <c r="AH176" s="24">
        <f t="shared" si="40"/>
        <v>226753.99200000003</v>
      </c>
      <c r="AI176" s="24"/>
      <c r="AJ176" s="24">
        <f t="shared" si="49"/>
        <v>2881834.7309999997</v>
      </c>
    </row>
    <row r="177" spans="1:36" ht="15.75">
      <c r="A177" s="3" t="s">
        <v>116</v>
      </c>
      <c r="B177" s="4" t="s">
        <v>44</v>
      </c>
      <c r="C177" s="3" t="s">
        <v>2</v>
      </c>
      <c r="D177" s="18">
        <v>5800.5</v>
      </c>
      <c r="E177" s="11">
        <f t="shared" si="41"/>
        <v>25058.159999999996</v>
      </c>
      <c r="F177" s="11">
        <f t="shared" si="42"/>
        <v>82831.13999999998</v>
      </c>
      <c r="G177" s="11">
        <f t="shared" si="43"/>
        <v>82135.07999999999</v>
      </c>
      <c r="H177" s="11">
        <f t="shared" si="44"/>
        <v>18097.56</v>
      </c>
      <c r="I177" s="11">
        <f t="shared" si="45"/>
        <v>4176.36</v>
      </c>
      <c r="J177" s="11">
        <f t="shared" si="46"/>
        <v>12529.079999999998</v>
      </c>
      <c r="K177" s="11">
        <f>119*6*2</f>
        <v>1428</v>
      </c>
      <c r="L177" s="8">
        <f>144.73*137</f>
        <v>19828.01</v>
      </c>
      <c r="M177" s="8"/>
      <c r="N177" s="8"/>
      <c r="O177" s="16">
        <f t="shared" si="36"/>
        <v>15951.375</v>
      </c>
      <c r="P177" s="24">
        <f t="shared" si="47"/>
        <v>262034.76499999996</v>
      </c>
      <c r="Q177" s="24">
        <f t="shared" si="50"/>
        <v>91241.865</v>
      </c>
      <c r="R177" s="26">
        <f t="shared" si="37"/>
        <v>214038.45</v>
      </c>
      <c r="S177" s="11"/>
      <c r="T177" s="11">
        <v>147540.01</v>
      </c>
      <c r="U177" s="11"/>
      <c r="V177" s="11"/>
      <c r="W177" s="11"/>
      <c r="X177" s="11"/>
      <c r="Y177" s="11"/>
      <c r="Z177" s="24">
        <f t="shared" si="48"/>
        <v>147540.01</v>
      </c>
      <c r="AA177" s="24">
        <f t="shared" si="38"/>
        <v>89791.74</v>
      </c>
      <c r="AB177" s="24"/>
      <c r="AC177" s="24">
        <f t="shared" si="51"/>
        <v>34106.94</v>
      </c>
      <c r="AD177" s="26">
        <f t="shared" si="39"/>
        <v>16243.800000000001</v>
      </c>
      <c r="AE177" s="8"/>
      <c r="AF177" s="8"/>
      <c r="AG177" s="26"/>
      <c r="AH177" s="24">
        <f t="shared" si="40"/>
        <v>82135.07999999999</v>
      </c>
      <c r="AI177" s="24">
        <v>57500</v>
      </c>
      <c r="AJ177" s="24">
        <f t="shared" si="49"/>
        <v>994632.65</v>
      </c>
    </row>
    <row r="178" spans="1:36" ht="15.75">
      <c r="A178" s="5" t="s">
        <v>117</v>
      </c>
      <c r="B178" s="5" t="s">
        <v>118</v>
      </c>
      <c r="C178" s="5" t="s">
        <v>2</v>
      </c>
      <c r="D178" s="21">
        <v>94.8</v>
      </c>
      <c r="E178" s="11">
        <f t="shared" si="41"/>
        <v>409.536</v>
      </c>
      <c r="F178" s="11">
        <f t="shared" si="42"/>
        <v>1353.744</v>
      </c>
      <c r="G178" s="11">
        <f t="shared" si="43"/>
        <v>1342.368</v>
      </c>
      <c r="H178" s="11">
        <f t="shared" si="44"/>
        <v>295.776</v>
      </c>
      <c r="I178" s="11">
        <f t="shared" si="45"/>
        <v>68.256</v>
      </c>
      <c r="J178" s="11">
        <f t="shared" si="46"/>
        <v>204.768</v>
      </c>
      <c r="K178" s="11">
        <f>2*230</f>
        <v>460</v>
      </c>
      <c r="L178" s="8"/>
      <c r="M178" s="8"/>
      <c r="N178" s="8"/>
      <c r="O178" s="16">
        <f t="shared" si="36"/>
        <v>260.7</v>
      </c>
      <c r="P178" s="24">
        <f t="shared" si="47"/>
        <v>4395.148</v>
      </c>
      <c r="Q178" s="24"/>
      <c r="R178" s="26">
        <f t="shared" si="37"/>
        <v>3498.12</v>
      </c>
      <c r="S178" s="11"/>
      <c r="T178" s="11"/>
      <c r="U178" s="11"/>
      <c r="V178" s="11"/>
      <c r="W178" s="11"/>
      <c r="X178" s="11"/>
      <c r="Y178" s="11"/>
      <c r="Z178" s="24">
        <f t="shared" si="48"/>
        <v>0</v>
      </c>
      <c r="AA178" s="24">
        <f t="shared" si="38"/>
        <v>1467.504</v>
      </c>
      <c r="AB178" s="24"/>
      <c r="AC178" s="24">
        <f t="shared" si="51"/>
        <v>557.424</v>
      </c>
      <c r="AD178" s="26">
        <f t="shared" si="39"/>
        <v>267.84</v>
      </c>
      <c r="AE178" s="8"/>
      <c r="AF178" s="8"/>
      <c r="AG178" s="26"/>
      <c r="AH178" s="24">
        <f t="shared" si="40"/>
        <v>1342.368</v>
      </c>
      <c r="AI178" s="24"/>
      <c r="AJ178" s="24">
        <f t="shared" si="49"/>
        <v>11528.404</v>
      </c>
    </row>
    <row r="179" spans="1:36" ht="15.75">
      <c r="A179" s="3" t="s">
        <v>119</v>
      </c>
      <c r="B179" s="4" t="s">
        <v>1</v>
      </c>
      <c r="C179" s="3" t="s">
        <v>2</v>
      </c>
      <c r="D179" s="18">
        <v>1557</v>
      </c>
      <c r="E179" s="11">
        <f t="shared" si="41"/>
        <v>6726.24</v>
      </c>
      <c r="F179" s="11">
        <f t="shared" si="42"/>
        <v>22233.96</v>
      </c>
      <c r="G179" s="11">
        <f t="shared" si="43"/>
        <v>22047.12</v>
      </c>
      <c r="H179" s="11">
        <f t="shared" si="44"/>
        <v>4857.84</v>
      </c>
      <c r="I179" s="11">
        <f t="shared" si="45"/>
        <v>1121.04</v>
      </c>
      <c r="J179" s="11">
        <f t="shared" si="46"/>
        <v>3363.12</v>
      </c>
      <c r="K179" s="11">
        <f>36*8*4+36*6*2</f>
        <v>1584</v>
      </c>
      <c r="L179" s="8">
        <f>144.73*44</f>
        <v>6368.12</v>
      </c>
      <c r="M179" s="8"/>
      <c r="N179" s="8">
        <f>939*20.77</f>
        <v>19503.03</v>
      </c>
      <c r="O179" s="16">
        <f t="shared" si="36"/>
        <v>4281.75</v>
      </c>
      <c r="P179" s="24">
        <f t="shared" si="47"/>
        <v>92086.21999999999</v>
      </c>
      <c r="Q179" s="24">
        <f>D179*1.27*5+D179*1.34*7</f>
        <v>24491.61</v>
      </c>
      <c r="R179" s="26">
        <f t="shared" si="37"/>
        <v>57453.3</v>
      </c>
      <c r="S179" s="11">
        <v>8800</v>
      </c>
      <c r="T179" s="11"/>
      <c r="U179" s="11">
        <v>3210</v>
      </c>
      <c r="V179" s="11"/>
      <c r="W179" s="11">
        <f>5*220</f>
        <v>1100</v>
      </c>
      <c r="X179" s="11"/>
      <c r="Y179" s="11"/>
      <c r="Z179" s="24">
        <f t="shared" si="48"/>
        <v>13110</v>
      </c>
      <c r="AA179" s="24">
        <f t="shared" si="38"/>
        <v>24102.36</v>
      </c>
      <c r="AB179" s="24"/>
      <c r="AC179" s="24">
        <f t="shared" si="51"/>
        <v>9155.16</v>
      </c>
      <c r="AD179" s="26">
        <f t="shared" si="39"/>
        <v>4362</v>
      </c>
      <c r="AE179" s="8"/>
      <c r="AF179" s="8"/>
      <c r="AG179" s="26"/>
      <c r="AH179" s="24">
        <f t="shared" si="40"/>
        <v>22047.12</v>
      </c>
      <c r="AI179" s="24">
        <v>57500</v>
      </c>
      <c r="AJ179" s="24">
        <f t="shared" si="49"/>
        <v>304307.77</v>
      </c>
    </row>
    <row r="180" spans="1:36" ht="15.75">
      <c r="A180" s="3" t="s">
        <v>119</v>
      </c>
      <c r="B180" s="4" t="s">
        <v>120</v>
      </c>
      <c r="C180" s="3" t="s">
        <v>2</v>
      </c>
      <c r="D180" s="18">
        <v>1641.3</v>
      </c>
      <c r="E180" s="11">
        <f t="shared" si="41"/>
        <v>7090.415999999999</v>
      </c>
      <c r="F180" s="11">
        <f t="shared" si="42"/>
        <v>23437.764</v>
      </c>
      <c r="G180" s="11">
        <f t="shared" si="43"/>
        <v>23240.807999999997</v>
      </c>
      <c r="H180" s="11">
        <f t="shared" si="44"/>
        <v>5120.856</v>
      </c>
      <c r="I180" s="11">
        <f t="shared" si="45"/>
        <v>1181.7359999999999</v>
      </c>
      <c r="J180" s="11">
        <f t="shared" si="46"/>
        <v>3545.2079999999996</v>
      </c>
      <c r="K180" s="11">
        <f>19*6*2</f>
        <v>228</v>
      </c>
      <c r="L180" s="8"/>
      <c r="M180" s="8"/>
      <c r="N180" s="8"/>
      <c r="O180" s="16">
        <f t="shared" si="36"/>
        <v>4513.575</v>
      </c>
      <c r="P180" s="24">
        <f t="shared" si="47"/>
        <v>68358.363</v>
      </c>
      <c r="Q180" s="24">
        <f>D180*1.27*5+D180*1.34*7</f>
        <v>25817.649</v>
      </c>
      <c r="R180" s="26">
        <f t="shared" si="37"/>
        <v>60563.969999999994</v>
      </c>
      <c r="S180" s="11"/>
      <c r="T180" s="11"/>
      <c r="U180" s="11"/>
      <c r="V180" s="11"/>
      <c r="W180" s="11">
        <f>11*220</f>
        <v>2420</v>
      </c>
      <c r="X180" s="11"/>
      <c r="Y180" s="11"/>
      <c r="Z180" s="24">
        <f t="shared" si="48"/>
        <v>2420</v>
      </c>
      <c r="AA180" s="24">
        <f t="shared" si="38"/>
        <v>25407.324</v>
      </c>
      <c r="AB180" s="24"/>
      <c r="AC180" s="24">
        <f t="shared" si="51"/>
        <v>9650.844</v>
      </c>
      <c r="AD180" s="26">
        <f t="shared" si="39"/>
        <v>4598.039999999999</v>
      </c>
      <c r="AE180" s="8"/>
      <c r="AF180" s="8"/>
      <c r="AG180" s="26"/>
      <c r="AH180" s="24">
        <f t="shared" si="40"/>
        <v>23240.807999999997</v>
      </c>
      <c r="AI180" s="24"/>
      <c r="AJ180" s="24">
        <f t="shared" si="49"/>
        <v>220056.998</v>
      </c>
    </row>
    <row r="181" spans="1:36" ht="15.75">
      <c r="A181" s="3" t="s">
        <v>119</v>
      </c>
      <c r="B181" s="4" t="s">
        <v>121</v>
      </c>
      <c r="C181" s="3" t="s">
        <v>2</v>
      </c>
      <c r="D181" s="18">
        <v>1295.9</v>
      </c>
      <c r="E181" s="11">
        <f t="shared" si="41"/>
        <v>5598.2880000000005</v>
      </c>
      <c r="F181" s="11">
        <f t="shared" si="42"/>
        <v>18505.452</v>
      </c>
      <c r="G181" s="11">
        <f t="shared" si="43"/>
        <v>18349.944</v>
      </c>
      <c r="H181" s="11">
        <f t="shared" si="44"/>
        <v>4043.2080000000005</v>
      </c>
      <c r="I181" s="11">
        <f t="shared" si="45"/>
        <v>933.048</v>
      </c>
      <c r="J181" s="11">
        <f t="shared" si="46"/>
        <v>2799.1440000000002</v>
      </c>
      <c r="K181" s="11">
        <f>32*8*4+32*6*2</f>
        <v>1408</v>
      </c>
      <c r="L181" s="8"/>
      <c r="M181" s="8"/>
      <c r="N181" s="8"/>
      <c r="O181" s="16">
        <f t="shared" si="36"/>
        <v>3563.7250000000004</v>
      </c>
      <c r="P181" s="24">
        <f t="shared" si="47"/>
        <v>55200.809</v>
      </c>
      <c r="Q181" s="24">
        <f>D181*1.27*5+D181*1.34*7</f>
        <v>20384.507</v>
      </c>
      <c r="R181" s="26">
        <f t="shared" si="37"/>
        <v>47818.71000000001</v>
      </c>
      <c r="S181" s="11">
        <v>35300</v>
      </c>
      <c r="T181" s="11"/>
      <c r="U181" s="11"/>
      <c r="V181" s="11">
        <v>35620</v>
      </c>
      <c r="W181" s="11">
        <f>10*220</f>
        <v>2200</v>
      </c>
      <c r="X181" s="11"/>
      <c r="Y181" s="11"/>
      <c r="Z181" s="24">
        <f t="shared" si="48"/>
        <v>73120</v>
      </c>
      <c r="AA181" s="24">
        <f t="shared" si="38"/>
        <v>20060.532000000003</v>
      </c>
      <c r="AB181" s="24"/>
      <c r="AC181" s="24">
        <f t="shared" si="51"/>
        <v>7619.892</v>
      </c>
      <c r="AD181" s="26">
        <f t="shared" si="39"/>
        <v>3630.92</v>
      </c>
      <c r="AE181" s="8"/>
      <c r="AF181" s="8"/>
      <c r="AG181" s="26"/>
      <c r="AH181" s="24">
        <f t="shared" si="40"/>
        <v>18349.944</v>
      </c>
      <c r="AI181" s="24"/>
      <c r="AJ181" s="24">
        <f t="shared" si="49"/>
        <v>246185.314</v>
      </c>
    </row>
    <row r="182" spans="1:36" ht="15.75">
      <c r="A182" s="3" t="s">
        <v>119</v>
      </c>
      <c r="B182" s="4" t="s">
        <v>122</v>
      </c>
      <c r="C182" s="3" t="s">
        <v>2</v>
      </c>
      <c r="D182" s="18">
        <v>968.2</v>
      </c>
      <c r="E182" s="11">
        <f t="shared" si="41"/>
        <v>4182.624</v>
      </c>
      <c r="F182" s="11">
        <f t="shared" si="42"/>
        <v>13825.895999999999</v>
      </c>
      <c r="G182" s="11">
        <f t="shared" si="43"/>
        <v>13709.712</v>
      </c>
      <c r="H182" s="11">
        <f t="shared" si="44"/>
        <v>3020.7840000000006</v>
      </c>
      <c r="I182" s="11">
        <f t="shared" si="45"/>
        <v>697.104</v>
      </c>
      <c r="J182" s="11">
        <f t="shared" si="46"/>
        <v>2091.312</v>
      </c>
      <c r="K182" s="11">
        <f>24*8*4+24*6*2</f>
        <v>1056</v>
      </c>
      <c r="L182" s="8">
        <f>144.73*30</f>
        <v>4341.9</v>
      </c>
      <c r="M182" s="8"/>
      <c r="N182" s="8"/>
      <c r="O182" s="16">
        <f t="shared" si="36"/>
        <v>2662.5500000000006</v>
      </c>
      <c r="P182" s="24">
        <f t="shared" si="47"/>
        <v>45587.882</v>
      </c>
      <c r="Q182" s="24"/>
      <c r="R182" s="26">
        <f t="shared" si="37"/>
        <v>35726.58</v>
      </c>
      <c r="S182" s="11"/>
      <c r="T182" s="11"/>
      <c r="U182" s="11"/>
      <c r="V182" s="11"/>
      <c r="W182" s="11">
        <f>9*220</f>
        <v>1980</v>
      </c>
      <c r="X182" s="11"/>
      <c r="Y182" s="11"/>
      <c r="Z182" s="24">
        <f t="shared" si="48"/>
        <v>1980</v>
      </c>
      <c r="AA182" s="24">
        <f t="shared" si="38"/>
        <v>14987.736</v>
      </c>
      <c r="AB182" s="24"/>
      <c r="AC182" s="24">
        <f t="shared" si="51"/>
        <v>5693.016</v>
      </c>
      <c r="AD182" s="26">
        <f t="shared" si="39"/>
        <v>2713.36</v>
      </c>
      <c r="AE182" s="8"/>
      <c r="AF182" s="8"/>
      <c r="AG182" s="26"/>
      <c r="AH182" s="24">
        <f t="shared" si="40"/>
        <v>13709.712</v>
      </c>
      <c r="AI182" s="24"/>
      <c r="AJ182" s="24">
        <f t="shared" si="49"/>
        <v>120398.28600000001</v>
      </c>
    </row>
    <row r="183" spans="1:36" ht="15.75">
      <c r="A183" s="3" t="s">
        <v>119</v>
      </c>
      <c r="B183" s="4" t="s">
        <v>34</v>
      </c>
      <c r="C183" s="3" t="s">
        <v>2</v>
      </c>
      <c r="D183" s="18">
        <v>5302.8</v>
      </c>
      <c r="E183" s="11">
        <f t="shared" si="41"/>
        <v>22908.096</v>
      </c>
      <c r="F183" s="11">
        <f t="shared" si="42"/>
        <v>75723.984</v>
      </c>
      <c r="G183" s="11">
        <f t="shared" si="43"/>
        <v>75087.648</v>
      </c>
      <c r="H183" s="11">
        <f t="shared" si="44"/>
        <v>16544.736</v>
      </c>
      <c r="I183" s="11">
        <f t="shared" si="45"/>
        <v>3818.016</v>
      </c>
      <c r="J183" s="11">
        <f t="shared" si="46"/>
        <v>11454.048</v>
      </c>
      <c r="K183" s="11">
        <f>120*6*2</f>
        <v>1440</v>
      </c>
      <c r="L183" s="8">
        <f>144.73*3</f>
        <v>434.18999999999994</v>
      </c>
      <c r="M183" s="8"/>
      <c r="N183" s="8"/>
      <c r="O183" s="16">
        <f t="shared" si="36"/>
        <v>14582.700000000003</v>
      </c>
      <c r="P183" s="24">
        <f t="shared" si="47"/>
        <v>221993.41800000003</v>
      </c>
      <c r="Q183" s="24">
        <f aca="true" t="shared" si="52" ref="Q183:Q192">D183*1.27*5+D183*1.34*7</f>
        <v>83413.044</v>
      </c>
      <c r="R183" s="26">
        <f t="shared" si="37"/>
        <v>195673.32000000004</v>
      </c>
      <c r="S183" s="11">
        <v>47000</v>
      </c>
      <c r="T183" s="11"/>
      <c r="U183" s="11"/>
      <c r="V183" s="11"/>
      <c r="W183" s="11"/>
      <c r="X183" s="11"/>
      <c r="Y183" s="11"/>
      <c r="Z183" s="24">
        <f t="shared" si="48"/>
        <v>47000</v>
      </c>
      <c r="AA183" s="24">
        <f t="shared" si="38"/>
        <v>82087.344</v>
      </c>
      <c r="AB183" s="24"/>
      <c r="AC183" s="24">
        <f t="shared" si="51"/>
        <v>31180.464</v>
      </c>
      <c r="AD183" s="26">
        <f t="shared" si="39"/>
        <v>14850.240000000002</v>
      </c>
      <c r="AE183" s="8"/>
      <c r="AF183" s="8"/>
      <c r="AG183" s="26"/>
      <c r="AH183" s="24">
        <f t="shared" si="40"/>
        <v>75087.648</v>
      </c>
      <c r="AI183" s="24"/>
      <c r="AJ183" s="24">
        <f t="shared" si="49"/>
        <v>751285.4780000002</v>
      </c>
    </row>
    <row r="184" spans="1:36" ht="15.75">
      <c r="A184" s="3" t="s">
        <v>119</v>
      </c>
      <c r="B184" s="4" t="s">
        <v>32</v>
      </c>
      <c r="C184" s="3" t="s">
        <v>2</v>
      </c>
      <c r="D184" s="18">
        <v>5058.2</v>
      </c>
      <c r="E184" s="11">
        <f t="shared" si="41"/>
        <v>21851.424</v>
      </c>
      <c r="F184" s="11">
        <f t="shared" si="42"/>
        <v>72231.09599999999</v>
      </c>
      <c r="G184" s="11">
        <f t="shared" si="43"/>
        <v>71624.112</v>
      </c>
      <c r="H184" s="11">
        <f t="shared" si="44"/>
        <v>15781.584</v>
      </c>
      <c r="I184" s="11">
        <f t="shared" si="45"/>
        <v>3641.9039999999995</v>
      </c>
      <c r="J184" s="11">
        <f t="shared" si="46"/>
        <v>10925.712</v>
      </c>
      <c r="K184" s="11">
        <f>107*8+107*6*2</f>
        <v>2140</v>
      </c>
      <c r="L184" s="8">
        <f>144.73*3</f>
        <v>434.18999999999994</v>
      </c>
      <c r="M184" s="8"/>
      <c r="N184" s="8"/>
      <c r="O184" s="16">
        <f t="shared" si="36"/>
        <v>13910.050000000001</v>
      </c>
      <c r="P184" s="24">
        <f t="shared" si="47"/>
        <v>212540.072</v>
      </c>
      <c r="Q184" s="24">
        <f t="shared" si="52"/>
        <v>79565.486</v>
      </c>
      <c r="R184" s="26">
        <f t="shared" si="37"/>
        <v>186647.58</v>
      </c>
      <c r="S184" s="11">
        <v>67789</v>
      </c>
      <c r="T184" s="11"/>
      <c r="U184" s="11">
        <v>19404</v>
      </c>
      <c r="V184" s="11"/>
      <c r="W184" s="11"/>
      <c r="X184" s="11"/>
      <c r="Y184" s="11">
        <v>412950</v>
      </c>
      <c r="Z184" s="24">
        <f>SUM(S184:Y184)</f>
        <v>500143</v>
      </c>
      <c r="AA184" s="24">
        <f t="shared" si="38"/>
        <v>78300.93599999999</v>
      </c>
      <c r="AB184" s="24"/>
      <c r="AC184" s="24">
        <f t="shared" si="51"/>
        <v>29742.216</v>
      </c>
      <c r="AD184" s="26">
        <f t="shared" si="39"/>
        <v>14165.359999999999</v>
      </c>
      <c r="AE184" s="8"/>
      <c r="AF184" s="8"/>
      <c r="AG184" s="26"/>
      <c r="AH184" s="24">
        <f t="shared" si="40"/>
        <v>71624.112</v>
      </c>
      <c r="AI184" s="24">
        <v>57500</v>
      </c>
      <c r="AJ184" s="24">
        <f t="shared" si="49"/>
        <v>1230228.762</v>
      </c>
    </row>
    <row r="185" spans="1:36" ht="15.75">
      <c r="A185" s="3" t="s">
        <v>119</v>
      </c>
      <c r="B185" s="4" t="s">
        <v>123</v>
      </c>
      <c r="C185" s="3" t="s">
        <v>2</v>
      </c>
      <c r="D185" s="18">
        <v>5594</v>
      </c>
      <c r="E185" s="11">
        <f t="shared" si="41"/>
        <v>24166.079999999998</v>
      </c>
      <c r="F185" s="11">
        <f t="shared" si="42"/>
        <v>79882.31999999999</v>
      </c>
      <c r="G185" s="11">
        <f t="shared" si="43"/>
        <v>79211.04000000001</v>
      </c>
      <c r="H185" s="11">
        <f t="shared" si="44"/>
        <v>17453.28</v>
      </c>
      <c r="I185" s="11">
        <f t="shared" si="45"/>
        <v>4027.68</v>
      </c>
      <c r="J185" s="11">
        <f t="shared" si="46"/>
        <v>12083.039999999999</v>
      </c>
      <c r="K185" s="11">
        <f>105*8*4+105*6*2</f>
        <v>4620</v>
      </c>
      <c r="L185" s="8">
        <f>144.73*119</f>
        <v>17222.87</v>
      </c>
      <c r="M185" s="8"/>
      <c r="N185" s="8"/>
      <c r="O185" s="16">
        <f t="shared" si="36"/>
        <v>15383.500000000002</v>
      </c>
      <c r="P185" s="24">
        <f t="shared" si="47"/>
        <v>254049.81</v>
      </c>
      <c r="Q185" s="24">
        <f t="shared" si="52"/>
        <v>87993.62</v>
      </c>
      <c r="R185" s="26">
        <f t="shared" si="37"/>
        <v>206418.6</v>
      </c>
      <c r="S185" s="11">
        <v>24489</v>
      </c>
      <c r="T185" s="11"/>
      <c r="U185" s="11">
        <v>1572</v>
      </c>
      <c r="V185" s="11"/>
      <c r="W185" s="11"/>
      <c r="X185" s="11"/>
      <c r="Y185" s="11"/>
      <c r="Z185" s="24">
        <f t="shared" si="48"/>
        <v>26061</v>
      </c>
      <c r="AA185" s="24">
        <f t="shared" si="38"/>
        <v>86595.12</v>
      </c>
      <c r="AB185" s="24"/>
      <c r="AC185" s="24">
        <f t="shared" si="51"/>
        <v>32892.72</v>
      </c>
      <c r="AD185" s="26">
        <f t="shared" si="39"/>
        <v>15665.599999999999</v>
      </c>
      <c r="AE185" s="8">
        <v>87512.62</v>
      </c>
      <c r="AF185" s="8">
        <v>5213.82</v>
      </c>
      <c r="AG185" s="26">
        <f>SUM(AE185:AF185)</f>
        <v>92726.44</v>
      </c>
      <c r="AH185" s="24">
        <f t="shared" si="40"/>
        <v>79211.04000000001</v>
      </c>
      <c r="AI185" s="24"/>
      <c r="AJ185" s="24">
        <f t="shared" si="49"/>
        <v>881613.95</v>
      </c>
    </row>
    <row r="186" spans="1:36" ht="15.75">
      <c r="A186" s="3" t="s">
        <v>119</v>
      </c>
      <c r="B186" s="4" t="s">
        <v>124</v>
      </c>
      <c r="C186" s="3" t="s">
        <v>2</v>
      </c>
      <c r="D186" s="18">
        <v>3318.2</v>
      </c>
      <c r="E186" s="11">
        <f t="shared" si="41"/>
        <v>14334.624</v>
      </c>
      <c r="F186" s="11">
        <f t="shared" si="42"/>
        <v>47383.89599999999</v>
      </c>
      <c r="G186" s="11">
        <f t="shared" si="43"/>
        <v>46985.712</v>
      </c>
      <c r="H186" s="11">
        <f t="shared" si="44"/>
        <v>10352.784</v>
      </c>
      <c r="I186" s="11">
        <f t="shared" si="45"/>
        <v>2389.104</v>
      </c>
      <c r="J186" s="11">
        <f t="shared" si="46"/>
        <v>7167.312</v>
      </c>
      <c r="K186" s="11">
        <f>69*8*4+69*6*2</f>
        <v>3036</v>
      </c>
      <c r="L186" s="8">
        <f>144.73*3</f>
        <v>434.18999999999994</v>
      </c>
      <c r="M186" s="8"/>
      <c r="N186" s="8"/>
      <c r="O186" s="16">
        <f t="shared" si="36"/>
        <v>9125.05</v>
      </c>
      <c r="P186" s="24">
        <f t="shared" si="47"/>
        <v>141208.672</v>
      </c>
      <c r="Q186" s="24">
        <f t="shared" si="52"/>
        <v>52195.286</v>
      </c>
      <c r="R186" s="26">
        <f t="shared" si="37"/>
        <v>122441.57999999999</v>
      </c>
      <c r="S186" s="11">
        <v>5090</v>
      </c>
      <c r="T186" s="11"/>
      <c r="U186" s="11">
        <v>15842</v>
      </c>
      <c r="V186" s="11"/>
      <c r="W186" s="11"/>
      <c r="X186" s="11"/>
      <c r="Y186" s="11">
        <v>320550</v>
      </c>
      <c r="Z186" s="24">
        <f>SUM(S186:Y186)</f>
        <v>341482</v>
      </c>
      <c r="AA186" s="24">
        <f t="shared" si="38"/>
        <v>51365.736000000004</v>
      </c>
      <c r="AB186" s="24"/>
      <c r="AC186" s="24">
        <f t="shared" si="51"/>
        <v>19511.016</v>
      </c>
      <c r="AD186" s="26">
        <f t="shared" si="39"/>
        <v>9293.359999999999</v>
      </c>
      <c r="AE186" s="8"/>
      <c r="AF186" s="8"/>
      <c r="AG186" s="26"/>
      <c r="AH186" s="24">
        <f t="shared" si="40"/>
        <v>46985.712</v>
      </c>
      <c r="AI186" s="24"/>
      <c r="AJ186" s="24">
        <f t="shared" si="49"/>
        <v>784483.362</v>
      </c>
    </row>
    <row r="187" spans="1:36" ht="15.75">
      <c r="A187" s="3" t="s">
        <v>119</v>
      </c>
      <c r="B187" s="4" t="s">
        <v>70</v>
      </c>
      <c r="C187" s="3" t="s">
        <v>2</v>
      </c>
      <c r="D187" s="18">
        <v>2611.4</v>
      </c>
      <c r="E187" s="11">
        <f t="shared" si="41"/>
        <v>11281.248</v>
      </c>
      <c r="F187" s="11">
        <f t="shared" si="42"/>
        <v>37290.792</v>
      </c>
      <c r="G187" s="11">
        <f t="shared" si="43"/>
        <v>36977.424</v>
      </c>
      <c r="H187" s="11">
        <f t="shared" si="44"/>
        <v>8147.568000000001</v>
      </c>
      <c r="I187" s="11">
        <f t="shared" si="45"/>
        <v>1880.208</v>
      </c>
      <c r="J187" s="11">
        <f t="shared" si="46"/>
        <v>5640.624</v>
      </c>
      <c r="K187" s="11">
        <f>64*6*2</f>
        <v>768</v>
      </c>
      <c r="L187" s="8">
        <f>144.73*74</f>
        <v>10710.019999999999</v>
      </c>
      <c r="M187" s="8"/>
      <c r="N187" s="8"/>
      <c r="O187" s="16">
        <f t="shared" si="36"/>
        <v>7181.350000000001</v>
      </c>
      <c r="P187" s="24">
        <f t="shared" si="47"/>
        <v>119877.23400000001</v>
      </c>
      <c r="Q187" s="24">
        <f t="shared" si="52"/>
        <v>41077.322</v>
      </c>
      <c r="R187" s="26">
        <f t="shared" si="37"/>
        <v>96360.66</v>
      </c>
      <c r="S187" s="11"/>
      <c r="T187" s="11"/>
      <c r="U187" s="11">
        <v>13660</v>
      </c>
      <c r="V187" s="11"/>
      <c r="W187" s="11"/>
      <c r="X187" s="11"/>
      <c r="Y187" s="11"/>
      <c r="Z187" s="24">
        <f t="shared" si="48"/>
        <v>13660</v>
      </c>
      <c r="AA187" s="24">
        <f t="shared" si="38"/>
        <v>40424.472</v>
      </c>
      <c r="AB187" s="24"/>
      <c r="AC187" s="24">
        <f t="shared" si="51"/>
        <v>15355.032</v>
      </c>
      <c r="AD187" s="26">
        <f t="shared" si="39"/>
        <v>7314.320000000001</v>
      </c>
      <c r="AE187" s="8"/>
      <c r="AF187" s="8"/>
      <c r="AG187" s="26"/>
      <c r="AH187" s="24">
        <f t="shared" si="40"/>
        <v>36977.424</v>
      </c>
      <c r="AI187" s="24"/>
      <c r="AJ187" s="24">
        <f t="shared" si="49"/>
        <v>371046.46400000004</v>
      </c>
    </row>
    <row r="188" spans="1:36" ht="15.75">
      <c r="A188" s="3" t="s">
        <v>119</v>
      </c>
      <c r="B188" s="4" t="s">
        <v>80</v>
      </c>
      <c r="C188" s="3" t="s">
        <v>65</v>
      </c>
      <c r="D188" s="18">
        <v>6190.9</v>
      </c>
      <c r="E188" s="11">
        <f t="shared" si="41"/>
        <v>26744.687999999995</v>
      </c>
      <c r="F188" s="11">
        <f t="shared" si="42"/>
        <v>88406.052</v>
      </c>
      <c r="G188" s="11">
        <f t="shared" si="43"/>
        <v>87663.14399999999</v>
      </c>
      <c r="H188" s="11">
        <f t="shared" si="44"/>
        <v>19315.608</v>
      </c>
      <c r="I188" s="11">
        <f t="shared" si="45"/>
        <v>4457.447999999999</v>
      </c>
      <c r="J188" s="11">
        <f t="shared" si="46"/>
        <v>13372.343999999997</v>
      </c>
      <c r="K188" s="11">
        <f>128*8+128*6*2</f>
        <v>2560</v>
      </c>
      <c r="L188" s="8">
        <f>144.73*2</f>
        <v>289.46</v>
      </c>
      <c r="M188" s="8"/>
      <c r="N188" s="8"/>
      <c r="O188" s="16">
        <f t="shared" si="36"/>
        <v>17024.975</v>
      </c>
      <c r="P188" s="24">
        <f t="shared" si="47"/>
        <v>259833.71899999998</v>
      </c>
      <c r="Q188" s="24">
        <f t="shared" si="52"/>
        <v>97382.857</v>
      </c>
      <c r="R188" s="26">
        <f t="shared" si="37"/>
        <v>228444.20999999996</v>
      </c>
      <c r="S188" s="11">
        <v>22720</v>
      </c>
      <c r="T188" s="11"/>
      <c r="U188" s="11"/>
      <c r="V188" s="11"/>
      <c r="W188" s="11"/>
      <c r="X188" s="11"/>
      <c r="Y188" s="11"/>
      <c r="Z188" s="24">
        <f t="shared" si="48"/>
        <v>22720</v>
      </c>
      <c r="AA188" s="24">
        <f t="shared" si="38"/>
        <v>95835.132</v>
      </c>
      <c r="AB188" s="24"/>
      <c r="AC188" s="24">
        <f t="shared" si="51"/>
        <v>36402.492</v>
      </c>
      <c r="AD188" s="26">
        <f t="shared" si="39"/>
        <v>17336.920000000002</v>
      </c>
      <c r="AE188" s="8"/>
      <c r="AF188" s="8"/>
      <c r="AG188" s="26"/>
      <c r="AH188" s="24">
        <f t="shared" si="40"/>
        <v>87663.14399999999</v>
      </c>
      <c r="AI188" s="24"/>
      <c r="AJ188" s="24">
        <f t="shared" si="49"/>
        <v>845618.4739999999</v>
      </c>
    </row>
    <row r="189" spans="1:36" ht="15.75">
      <c r="A189" s="3" t="s">
        <v>119</v>
      </c>
      <c r="B189" s="4" t="s">
        <v>39</v>
      </c>
      <c r="C189" s="3" t="s">
        <v>2</v>
      </c>
      <c r="D189" s="18">
        <v>4987.6</v>
      </c>
      <c r="E189" s="11">
        <f t="shared" si="41"/>
        <v>21546.432</v>
      </c>
      <c r="F189" s="11">
        <f t="shared" si="42"/>
        <v>71222.92800000001</v>
      </c>
      <c r="G189" s="11">
        <f t="shared" si="43"/>
        <v>70624.416</v>
      </c>
      <c r="H189" s="11">
        <f t="shared" si="44"/>
        <v>15561.312000000002</v>
      </c>
      <c r="I189" s="11">
        <f t="shared" si="45"/>
        <v>3591.072</v>
      </c>
      <c r="J189" s="11">
        <f t="shared" si="46"/>
        <v>10773.216</v>
      </c>
      <c r="K189" s="11">
        <f>104*8+104*6*2</f>
        <v>2080</v>
      </c>
      <c r="L189" s="8">
        <f>144.73*2</f>
        <v>289.46</v>
      </c>
      <c r="M189" s="8"/>
      <c r="N189" s="8"/>
      <c r="O189" s="16">
        <f t="shared" si="36"/>
        <v>13715.900000000001</v>
      </c>
      <c r="P189" s="24">
        <f t="shared" si="47"/>
        <v>209404.73600000003</v>
      </c>
      <c r="Q189" s="24">
        <f t="shared" si="52"/>
        <v>78454.948</v>
      </c>
      <c r="R189" s="26">
        <f t="shared" si="37"/>
        <v>184042.44</v>
      </c>
      <c r="S189" s="11"/>
      <c r="T189" s="11"/>
      <c r="U189" s="11"/>
      <c r="V189" s="11"/>
      <c r="W189" s="11"/>
      <c r="X189" s="11"/>
      <c r="Y189" s="11">
        <v>791152</v>
      </c>
      <c r="Z189" s="24">
        <f>SUM(S189:Y189)</f>
        <v>791152</v>
      </c>
      <c r="AA189" s="24">
        <f t="shared" si="38"/>
        <v>77208.04800000001</v>
      </c>
      <c r="AB189" s="24"/>
      <c r="AC189" s="24">
        <f t="shared" si="51"/>
        <v>29327.088</v>
      </c>
      <c r="AD189" s="26">
        <f t="shared" si="39"/>
        <v>13967.68</v>
      </c>
      <c r="AE189" s="8"/>
      <c r="AF189" s="8"/>
      <c r="AG189" s="26"/>
      <c r="AH189" s="24">
        <f t="shared" si="40"/>
        <v>70624.416</v>
      </c>
      <c r="AI189" s="24"/>
      <c r="AJ189" s="24">
        <f t="shared" si="49"/>
        <v>1454181.356</v>
      </c>
    </row>
    <row r="190" spans="1:36" ht="15.75">
      <c r="A190" s="3" t="s">
        <v>119</v>
      </c>
      <c r="B190" s="4" t="s">
        <v>125</v>
      </c>
      <c r="C190" s="3" t="s">
        <v>2</v>
      </c>
      <c r="D190" s="18">
        <v>4396.2</v>
      </c>
      <c r="E190" s="11">
        <f t="shared" si="41"/>
        <v>18991.584</v>
      </c>
      <c r="F190" s="11">
        <f t="shared" si="42"/>
        <v>62777.73599999999</v>
      </c>
      <c r="G190" s="11">
        <f t="shared" si="43"/>
        <v>62250.191999999995</v>
      </c>
      <c r="H190" s="11">
        <f t="shared" si="44"/>
        <v>13716.144</v>
      </c>
      <c r="I190" s="11">
        <f t="shared" si="45"/>
        <v>3165.264</v>
      </c>
      <c r="J190" s="11">
        <f t="shared" si="46"/>
        <v>9495.792</v>
      </c>
      <c r="K190" s="11">
        <f>97*6*2</f>
        <v>1164</v>
      </c>
      <c r="L190" s="8">
        <f>144.73*3</f>
        <v>434.18999999999994</v>
      </c>
      <c r="M190" s="8"/>
      <c r="N190" s="8"/>
      <c r="O190" s="16">
        <f t="shared" si="36"/>
        <v>12089.550000000001</v>
      </c>
      <c r="P190" s="24">
        <f t="shared" si="47"/>
        <v>184084.45199999996</v>
      </c>
      <c r="Q190" s="24">
        <f t="shared" si="52"/>
        <v>69152.226</v>
      </c>
      <c r="R190" s="26">
        <f t="shared" si="37"/>
        <v>162219.77999999997</v>
      </c>
      <c r="S190" s="11">
        <v>336586</v>
      </c>
      <c r="T190" s="11"/>
      <c r="U190" s="11"/>
      <c r="V190" s="11"/>
      <c r="W190" s="11"/>
      <c r="X190" s="11"/>
      <c r="Y190" s="11">
        <v>87300</v>
      </c>
      <c r="Z190" s="24">
        <f t="shared" si="48"/>
        <v>336586</v>
      </c>
      <c r="AA190" s="24">
        <f t="shared" si="38"/>
        <v>68053.176</v>
      </c>
      <c r="AB190" s="24"/>
      <c r="AC190" s="24">
        <f t="shared" si="51"/>
        <v>25849.656</v>
      </c>
      <c r="AD190" s="26">
        <f t="shared" si="39"/>
        <v>12311.76</v>
      </c>
      <c r="AE190" s="8"/>
      <c r="AF190" s="8"/>
      <c r="AG190" s="26"/>
      <c r="AH190" s="24">
        <f t="shared" si="40"/>
        <v>62250.191999999995</v>
      </c>
      <c r="AI190" s="24">
        <v>57500</v>
      </c>
      <c r="AJ190" s="24">
        <f t="shared" si="49"/>
        <v>978007.2419999999</v>
      </c>
    </row>
    <row r="191" spans="1:36" ht="15.75">
      <c r="A191" s="3" t="s">
        <v>119</v>
      </c>
      <c r="B191" s="4" t="s">
        <v>126</v>
      </c>
      <c r="C191" s="3" t="s">
        <v>2</v>
      </c>
      <c r="D191" s="18">
        <v>4974</v>
      </c>
      <c r="E191" s="11">
        <f t="shared" si="41"/>
        <v>21487.68</v>
      </c>
      <c r="F191" s="11">
        <f t="shared" si="42"/>
        <v>71028.72</v>
      </c>
      <c r="G191" s="11">
        <f t="shared" si="43"/>
        <v>70431.84</v>
      </c>
      <c r="H191" s="11">
        <f t="shared" si="44"/>
        <v>15518.880000000001</v>
      </c>
      <c r="I191" s="11">
        <f t="shared" si="45"/>
        <v>3581.2799999999997</v>
      </c>
      <c r="J191" s="11">
        <f t="shared" si="46"/>
        <v>10743.84</v>
      </c>
      <c r="K191" s="11">
        <f>104*6*2</f>
        <v>1248</v>
      </c>
      <c r="L191" s="8">
        <f>144.73*2</f>
        <v>289.46</v>
      </c>
      <c r="M191" s="8"/>
      <c r="N191" s="8"/>
      <c r="O191" s="16">
        <f t="shared" si="36"/>
        <v>13678.500000000002</v>
      </c>
      <c r="P191" s="24">
        <f t="shared" si="47"/>
        <v>208008.19999999998</v>
      </c>
      <c r="Q191" s="24">
        <f t="shared" si="52"/>
        <v>78241.02</v>
      </c>
      <c r="R191" s="26">
        <f t="shared" si="37"/>
        <v>183540.6</v>
      </c>
      <c r="S191" s="11">
        <v>20000</v>
      </c>
      <c r="T191" s="11"/>
      <c r="U191" s="11"/>
      <c r="V191" s="11"/>
      <c r="W191" s="11"/>
      <c r="X191" s="11"/>
      <c r="Y191" s="11"/>
      <c r="Z191" s="24">
        <f t="shared" si="48"/>
        <v>20000</v>
      </c>
      <c r="AA191" s="24">
        <f t="shared" si="38"/>
        <v>76997.52</v>
      </c>
      <c r="AB191" s="24"/>
      <c r="AC191" s="24">
        <f t="shared" si="51"/>
        <v>29247.119999999995</v>
      </c>
      <c r="AD191" s="26">
        <f t="shared" si="39"/>
        <v>13929.6</v>
      </c>
      <c r="AE191" s="8"/>
      <c r="AF191" s="8"/>
      <c r="AG191" s="26"/>
      <c r="AH191" s="24">
        <f t="shared" si="40"/>
        <v>70431.84</v>
      </c>
      <c r="AI191" s="24"/>
      <c r="AJ191" s="24">
        <f t="shared" si="49"/>
        <v>680395.8999999999</v>
      </c>
    </row>
    <row r="192" spans="1:36" ht="15.75">
      <c r="A192" s="3" t="s">
        <v>119</v>
      </c>
      <c r="B192" s="4" t="s">
        <v>9</v>
      </c>
      <c r="C192" s="3" t="s">
        <v>2</v>
      </c>
      <c r="D192" s="18">
        <v>6176.6</v>
      </c>
      <c r="E192" s="11">
        <f t="shared" si="41"/>
        <v>26682.912</v>
      </c>
      <c r="F192" s="11">
        <f t="shared" si="42"/>
        <v>88201.848</v>
      </c>
      <c r="G192" s="11">
        <f t="shared" si="43"/>
        <v>87460.656</v>
      </c>
      <c r="H192" s="11">
        <f t="shared" si="44"/>
        <v>19270.992000000002</v>
      </c>
      <c r="I192" s="11">
        <f t="shared" si="45"/>
        <v>4447.152</v>
      </c>
      <c r="J192" s="11">
        <f t="shared" si="46"/>
        <v>13341.456</v>
      </c>
      <c r="K192" s="11">
        <f>128*8*4+128*6*2</f>
        <v>5632</v>
      </c>
      <c r="L192" s="8">
        <f>144.73*3</f>
        <v>434.18999999999994</v>
      </c>
      <c r="M192" s="8"/>
      <c r="N192" s="8"/>
      <c r="O192" s="16">
        <f t="shared" si="36"/>
        <v>16985.65</v>
      </c>
      <c r="P192" s="24">
        <f t="shared" si="47"/>
        <v>262456.856</v>
      </c>
      <c r="Q192" s="24">
        <f t="shared" si="52"/>
        <v>97157.918</v>
      </c>
      <c r="R192" s="26">
        <f t="shared" si="37"/>
        <v>227916.54000000004</v>
      </c>
      <c r="S192" s="11">
        <v>6786</v>
      </c>
      <c r="T192" s="11"/>
      <c r="U192" s="11"/>
      <c r="V192" s="11"/>
      <c r="W192" s="11"/>
      <c r="X192" s="11"/>
      <c r="Y192" s="11">
        <v>388470</v>
      </c>
      <c r="Z192" s="24">
        <f t="shared" si="48"/>
        <v>6786</v>
      </c>
      <c r="AA192" s="24">
        <f t="shared" si="38"/>
        <v>95613.76800000001</v>
      </c>
      <c r="AB192" s="24"/>
      <c r="AC192" s="24">
        <f t="shared" si="51"/>
        <v>36318.408</v>
      </c>
      <c r="AD192" s="26">
        <f t="shared" si="39"/>
        <v>17296.880000000005</v>
      </c>
      <c r="AE192" s="8"/>
      <c r="AF192" s="8"/>
      <c r="AG192" s="26"/>
      <c r="AH192" s="24">
        <f t="shared" si="40"/>
        <v>87460.656</v>
      </c>
      <c r="AI192" s="24">
        <v>57500</v>
      </c>
      <c r="AJ192" s="24">
        <f t="shared" si="49"/>
        <v>888507.0260000001</v>
      </c>
    </row>
    <row r="193" spans="1:36" ht="15.75">
      <c r="A193" s="3" t="s">
        <v>119</v>
      </c>
      <c r="B193" s="4" t="s">
        <v>71</v>
      </c>
      <c r="C193" s="3" t="s">
        <v>2</v>
      </c>
      <c r="D193" s="18">
        <v>1164.7</v>
      </c>
      <c r="E193" s="11">
        <f t="shared" si="41"/>
        <v>5031.504</v>
      </c>
      <c r="F193" s="11">
        <f t="shared" si="42"/>
        <v>16631.915999999997</v>
      </c>
      <c r="G193" s="11">
        <f t="shared" si="43"/>
        <v>16492.152000000002</v>
      </c>
      <c r="H193" s="11">
        <f t="shared" si="44"/>
        <v>3633.864</v>
      </c>
      <c r="I193" s="11">
        <f t="shared" si="45"/>
        <v>838.5840000000001</v>
      </c>
      <c r="J193" s="11">
        <f t="shared" si="46"/>
        <v>2515.752</v>
      </c>
      <c r="K193" s="11">
        <f>10*8*4+10*6*2</f>
        <v>440</v>
      </c>
      <c r="L193" s="8">
        <f>144.73*16</f>
        <v>2315.68</v>
      </c>
      <c r="M193" s="8"/>
      <c r="N193" s="8"/>
      <c r="O193" s="16">
        <f t="shared" si="36"/>
        <v>3202.925</v>
      </c>
      <c r="P193" s="24">
        <f t="shared" si="47"/>
        <v>51102.37700000001</v>
      </c>
      <c r="Q193" s="24"/>
      <c r="R193" s="26">
        <f t="shared" si="37"/>
        <v>42977.43000000001</v>
      </c>
      <c r="S193" s="11"/>
      <c r="T193" s="11"/>
      <c r="U193" s="11"/>
      <c r="V193" s="11">
        <v>49610</v>
      </c>
      <c r="W193" s="11">
        <f>10*220</f>
        <v>2200</v>
      </c>
      <c r="X193" s="11"/>
      <c r="Y193" s="11"/>
      <c r="Z193" s="24">
        <f t="shared" si="48"/>
        <v>51810</v>
      </c>
      <c r="AA193" s="24">
        <f t="shared" si="38"/>
        <v>18029.556000000004</v>
      </c>
      <c r="AB193" s="24"/>
      <c r="AC193" s="24">
        <f t="shared" si="51"/>
        <v>6848.436</v>
      </c>
      <c r="AD193" s="26">
        <f t="shared" si="39"/>
        <v>3263.5600000000004</v>
      </c>
      <c r="AE193" s="8"/>
      <c r="AF193" s="8"/>
      <c r="AG193" s="26"/>
      <c r="AH193" s="24">
        <f t="shared" si="40"/>
        <v>16492.152000000002</v>
      </c>
      <c r="AI193" s="24">
        <v>57500</v>
      </c>
      <c r="AJ193" s="24">
        <f t="shared" si="49"/>
        <v>248023.51100000003</v>
      </c>
    </row>
    <row r="194" spans="1:36" ht="15.75">
      <c r="A194" s="3" t="s">
        <v>119</v>
      </c>
      <c r="B194" s="4" t="s">
        <v>90</v>
      </c>
      <c r="C194" s="3" t="s">
        <v>110</v>
      </c>
      <c r="D194" s="18">
        <v>3478.3</v>
      </c>
      <c r="E194" s="11">
        <f t="shared" si="41"/>
        <v>15026.256000000001</v>
      </c>
      <c r="F194" s="11">
        <f t="shared" si="42"/>
        <v>49670.123999999996</v>
      </c>
      <c r="G194" s="11">
        <f t="shared" si="43"/>
        <v>49252.728</v>
      </c>
      <c r="H194" s="11">
        <f t="shared" si="44"/>
        <v>10852.296</v>
      </c>
      <c r="I194" s="11">
        <f t="shared" si="45"/>
        <v>2504.376</v>
      </c>
      <c r="J194" s="11">
        <f t="shared" si="46"/>
        <v>7513.128000000001</v>
      </c>
      <c r="K194" s="11">
        <f>75*6*2</f>
        <v>900</v>
      </c>
      <c r="L194" s="8">
        <f>144.73*87</f>
        <v>12591.509999999998</v>
      </c>
      <c r="M194" s="8"/>
      <c r="N194" s="8"/>
      <c r="O194" s="16">
        <f t="shared" si="36"/>
        <v>9565.325</v>
      </c>
      <c r="P194" s="24">
        <f t="shared" si="47"/>
        <v>157875.74300000005</v>
      </c>
      <c r="Q194" s="24">
        <f>D194*1.27*5+D194*1.34*7</f>
        <v>54713.65900000001</v>
      </c>
      <c r="R194" s="26">
        <f t="shared" si="37"/>
        <v>128349.27000000002</v>
      </c>
      <c r="S194" s="11">
        <v>46150</v>
      </c>
      <c r="T194" s="11">
        <v>22800</v>
      </c>
      <c r="U194" s="11"/>
      <c r="V194" s="11"/>
      <c r="W194" s="11"/>
      <c r="X194" s="11"/>
      <c r="Y194" s="11"/>
      <c r="Z194" s="24">
        <f t="shared" si="48"/>
        <v>68950</v>
      </c>
      <c r="AA194" s="24">
        <f t="shared" si="38"/>
        <v>53844.084</v>
      </c>
      <c r="AB194" s="24"/>
      <c r="AC194" s="24">
        <f t="shared" si="51"/>
        <v>20452.404</v>
      </c>
      <c r="AD194" s="26">
        <f t="shared" si="39"/>
        <v>9741.640000000001</v>
      </c>
      <c r="AE194" s="8"/>
      <c r="AF194" s="8"/>
      <c r="AG194" s="26"/>
      <c r="AH194" s="24">
        <f t="shared" si="40"/>
        <v>49252.728</v>
      </c>
      <c r="AI194" s="24"/>
      <c r="AJ194" s="24">
        <f t="shared" si="49"/>
        <v>543179.528</v>
      </c>
    </row>
    <row r="195" spans="1:36" ht="15.75">
      <c r="A195" s="3" t="s">
        <v>119</v>
      </c>
      <c r="B195" s="4" t="s">
        <v>46</v>
      </c>
      <c r="C195" s="3" t="s">
        <v>65</v>
      </c>
      <c r="D195" s="18">
        <v>14044.8</v>
      </c>
      <c r="E195" s="11">
        <f t="shared" si="41"/>
        <v>60673.53599999999</v>
      </c>
      <c r="F195" s="11">
        <f t="shared" si="42"/>
        <v>200559.74399999998</v>
      </c>
      <c r="G195" s="11">
        <f t="shared" si="43"/>
        <v>198874.36799999996</v>
      </c>
      <c r="H195" s="11">
        <f t="shared" si="44"/>
        <v>43819.776</v>
      </c>
      <c r="I195" s="11">
        <f t="shared" si="45"/>
        <v>10112.255999999998</v>
      </c>
      <c r="J195" s="11">
        <f t="shared" si="46"/>
        <v>30336.767999999996</v>
      </c>
      <c r="K195" s="11">
        <f>251*6*2</f>
        <v>3012</v>
      </c>
      <c r="L195" s="8">
        <f>144.73*269</f>
        <v>38932.369999999995</v>
      </c>
      <c r="M195" s="8">
        <f>7*142.42*1.5</f>
        <v>1495.4099999999999</v>
      </c>
      <c r="N195" s="8"/>
      <c r="O195" s="16">
        <f aca="true" t="shared" si="53" ref="O195:O255">D195*0.55*5</f>
        <v>38623.200000000004</v>
      </c>
      <c r="P195" s="24">
        <f t="shared" si="47"/>
        <v>626439.428</v>
      </c>
      <c r="Q195" s="24">
        <f>D195*1.27*5+D195*1.34*7</f>
        <v>220924.704</v>
      </c>
      <c r="R195" s="26">
        <f aca="true" t="shared" si="54" ref="R195:R255">D195*3.18*5+D195*3*7</f>
        <v>518253.11999999994</v>
      </c>
      <c r="S195" s="11">
        <v>215840</v>
      </c>
      <c r="T195" s="11">
        <v>18000</v>
      </c>
      <c r="U195" s="11"/>
      <c r="V195" s="11"/>
      <c r="W195" s="11"/>
      <c r="X195" s="11"/>
      <c r="Y195" s="11"/>
      <c r="Z195" s="24">
        <f t="shared" si="48"/>
        <v>233840</v>
      </c>
      <c r="AA195" s="24">
        <f aca="true" t="shared" si="55" ref="AA195:AA255">D195*1.29*12</f>
        <v>217413.50400000002</v>
      </c>
      <c r="AB195" s="24">
        <f>D195*1.01*5+0.96*D195*7</f>
        <v>165307.29599999997</v>
      </c>
      <c r="AC195" s="24">
        <f t="shared" si="51"/>
        <v>82583.424</v>
      </c>
      <c r="AD195" s="26">
        <f aca="true" t="shared" si="56" ref="AD195:AD255">D195*0.4*7+0.48*5</f>
        <v>39327.840000000004</v>
      </c>
      <c r="AE195" s="8">
        <v>210728.62</v>
      </c>
      <c r="AF195" s="8">
        <v>12165.58</v>
      </c>
      <c r="AG195" s="26">
        <f>SUM(AE195:AF195)</f>
        <v>222894.19999999998</v>
      </c>
      <c r="AH195" s="24">
        <f aca="true" t="shared" si="57" ref="AH195:AH255">D195*1.18*12</f>
        <v>198874.36799999996</v>
      </c>
      <c r="AI195" s="24"/>
      <c r="AJ195" s="24">
        <f t="shared" si="49"/>
        <v>2525857.8839999996</v>
      </c>
    </row>
    <row r="196" spans="1:36" ht="15.75">
      <c r="A196" s="3" t="s">
        <v>119</v>
      </c>
      <c r="B196" s="4" t="s">
        <v>47</v>
      </c>
      <c r="C196" s="3" t="s">
        <v>65</v>
      </c>
      <c r="D196" s="18">
        <v>16045.9</v>
      </c>
      <c r="E196" s="11">
        <f aca="true" t="shared" si="58" ref="E196:E255">D196*0.36*12</f>
        <v>69318.288</v>
      </c>
      <c r="F196" s="11">
        <f aca="true" t="shared" si="59" ref="F196:F255">D196*1.19*12</f>
        <v>229135.452</v>
      </c>
      <c r="G196" s="11">
        <f aca="true" t="shared" si="60" ref="G196:G255">D196*1.18*12</f>
        <v>227209.94400000002</v>
      </c>
      <c r="H196" s="11">
        <f aca="true" t="shared" si="61" ref="H196:H255">D196*0.26*12</f>
        <v>50063.208</v>
      </c>
      <c r="I196" s="11">
        <f aca="true" t="shared" si="62" ref="I196:I255">D196*0.06*12</f>
        <v>11553.047999999999</v>
      </c>
      <c r="J196" s="11">
        <f aca="true" t="shared" si="63" ref="J196:J255">D196*0.18*12</f>
        <v>34659.144</v>
      </c>
      <c r="K196" s="11">
        <f>323*6*2</f>
        <v>3876</v>
      </c>
      <c r="L196" s="8">
        <f>144.73*2</f>
        <v>289.46</v>
      </c>
      <c r="M196" s="8">
        <f>9*142.42*1.5</f>
        <v>1922.67</v>
      </c>
      <c r="N196" s="8"/>
      <c r="O196" s="16">
        <f t="shared" si="53"/>
        <v>44126.225000000006</v>
      </c>
      <c r="P196" s="24">
        <f aca="true" t="shared" si="64" ref="P196:P255">SUM(E196:O196)</f>
        <v>672153.4389999999</v>
      </c>
      <c r="Q196" s="24">
        <f>D196*1.27*5+D196*1.34*7</f>
        <v>252402.00700000004</v>
      </c>
      <c r="R196" s="26">
        <f t="shared" si="54"/>
        <v>592093.71</v>
      </c>
      <c r="S196" s="11"/>
      <c r="T196" s="11">
        <v>67500</v>
      </c>
      <c r="U196" s="11"/>
      <c r="V196" s="11"/>
      <c r="W196" s="11"/>
      <c r="X196" s="11"/>
      <c r="Y196" s="11"/>
      <c r="Z196" s="24">
        <f aca="true" t="shared" si="65" ref="Z196:Z255">SUM(S196:X196)</f>
        <v>67500</v>
      </c>
      <c r="AA196" s="24">
        <f t="shared" si="55"/>
        <v>248390.532</v>
      </c>
      <c r="AB196" s="24">
        <f>D196*1.01*5+0.96*D196*7</f>
        <v>188860.243</v>
      </c>
      <c r="AC196" s="24">
        <f t="shared" si="51"/>
        <v>94349.89199999999</v>
      </c>
      <c r="AD196" s="26">
        <f t="shared" si="56"/>
        <v>44930.920000000006</v>
      </c>
      <c r="AE196" s="8">
        <v>270936.8</v>
      </c>
      <c r="AF196" s="8">
        <v>15641.45</v>
      </c>
      <c r="AG196" s="26">
        <f>SUM(AE196:AF196)</f>
        <v>286578.25</v>
      </c>
      <c r="AH196" s="24">
        <f t="shared" si="57"/>
        <v>227209.94400000002</v>
      </c>
      <c r="AI196" s="24"/>
      <c r="AJ196" s="24">
        <f aca="true" t="shared" si="66" ref="AJ196:AJ255">P196+Q196+R196+Z196+AA196+AB196+AC196+AD196+AG196+AH196+AI196</f>
        <v>2674468.937</v>
      </c>
    </row>
    <row r="197" spans="1:36" ht="15.75">
      <c r="A197" s="3" t="s">
        <v>119</v>
      </c>
      <c r="B197" s="4" t="s">
        <v>47</v>
      </c>
      <c r="C197" s="3" t="s">
        <v>110</v>
      </c>
      <c r="D197" s="18">
        <v>19874.5</v>
      </c>
      <c r="E197" s="11">
        <f t="shared" si="58"/>
        <v>85857.84</v>
      </c>
      <c r="F197" s="11">
        <f t="shared" si="59"/>
        <v>283807.86</v>
      </c>
      <c r="G197" s="11">
        <f t="shared" si="60"/>
        <v>281422.92</v>
      </c>
      <c r="H197" s="11">
        <f t="shared" si="61"/>
        <v>62008.44</v>
      </c>
      <c r="I197" s="11">
        <f t="shared" si="62"/>
        <v>14309.64</v>
      </c>
      <c r="J197" s="11">
        <f t="shared" si="63"/>
        <v>42928.92</v>
      </c>
      <c r="K197" s="11">
        <f>394*6*2</f>
        <v>4728</v>
      </c>
      <c r="L197" s="8">
        <f>144.73*2</f>
        <v>289.46</v>
      </c>
      <c r="M197" s="8">
        <f>11*142.42*1.5</f>
        <v>2349.93</v>
      </c>
      <c r="N197" s="8"/>
      <c r="O197" s="16">
        <f t="shared" si="53"/>
        <v>54654.875</v>
      </c>
      <c r="P197" s="24">
        <f t="shared" si="64"/>
        <v>832357.8849999999</v>
      </c>
      <c r="Q197" s="24">
        <f>D197*1.27*5+D197*1.34*7</f>
        <v>312625.885</v>
      </c>
      <c r="R197" s="26">
        <f t="shared" si="54"/>
        <v>733369.05</v>
      </c>
      <c r="S197" s="11">
        <v>1036</v>
      </c>
      <c r="T197" s="11"/>
      <c r="U197" s="11">
        <v>1366</v>
      </c>
      <c r="V197" s="11"/>
      <c r="W197" s="11"/>
      <c r="X197" s="11"/>
      <c r="Y197" s="11"/>
      <c r="Z197" s="24">
        <f t="shared" si="65"/>
        <v>2402</v>
      </c>
      <c r="AA197" s="24">
        <f t="shared" si="55"/>
        <v>307657.26</v>
      </c>
      <c r="AB197" s="24">
        <f>D197*1.01*5+0.96*D197*7</f>
        <v>233922.865</v>
      </c>
      <c r="AC197" s="24">
        <f t="shared" si="51"/>
        <v>116862.06</v>
      </c>
      <c r="AD197" s="26">
        <f t="shared" si="56"/>
        <v>55651</v>
      </c>
      <c r="AE197" s="8">
        <v>331144.98</v>
      </c>
      <c r="AF197" s="8">
        <v>19117.33</v>
      </c>
      <c r="AG197" s="26">
        <f>SUM(AE197:AF197)</f>
        <v>350262.31</v>
      </c>
      <c r="AH197" s="24">
        <f t="shared" si="57"/>
        <v>281422.92</v>
      </c>
      <c r="AI197" s="24"/>
      <c r="AJ197" s="24">
        <f t="shared" si="66"/>
        <v>3226533.2350000003</v>
      </c>
    </row>
    <row r="198" spans="1:36" ht="15.75">
      <c r="A198" s="3" t="s">
        <v>119</v>
      </c>
      <c r="B198" s="4" t="s">
        <v>127</v>
      </c>
      <c r="C198" s="3" t="s">
        <v>2</v>
      </c>
      <c r="D198" s="18">
        <v>946.7</v>
      </c>
      <c r="E198" s="11">
        <f t="shared" si="58"/>
        <v>4089.744</v>
      </c>
      <c r="F198" s="11">
        <f t="shared" si="59"/>
        <v>13518.876</v>
      </c>
      <c r="G198" s="11">
        <f t="shared" si="60"/>
        <v>13405.272</v>
      </c>
      <c r="H198" s="11">
        <f t="shared" si="61"/>
        <v>2953.704</v>
      </c>
      <c r="I198" s="11">
        <f t="shared" si="62"/>
        <v>681.624</v>
      </c>
      <c r="J198" s="11">
        <f t="shared" si="63"/>
        <v>2044.872</v>
      </c>
      <c r="K198" s="11">
        <f>24*8*4+24*6*2</f>
        <v>1056</v>
      </c>
      <c r="L198" s="8">
        <f>144.73*30</f>
        <v>4341.9</v>
      </c>
      <c r="M198" s="8"/>
      <c r="N198" s="8"/>
      <c r="O198" s="16">
        <f t="shared" si="53"/>
        <v>2603.425</v>
      </c>
      <c r="P198" s="24">
        <f t="shared" si="64"/>
        <v>44695.41700000001</v>
      </c>
      <c r="Q198" s="24"/>
      <c r="R198" s="26">
        <f t="shared" si="54"/>
        <v>34933.23000000001</v>
      </c>
      <c r="S198" s="11"/>
      <c r="T198" s="11"/>
      <c r="U198" s="11"/>
      <c r="V198" s="11"/>
      <c r="W198" s="11"/>
      <c r="X198" s="11">
        <v>2000</v>
      </c>
      <c r="Y198" s="11"/>
      <c r="Z198" s="24">
        <f t="shared" si="65"/>
        <v>2000</v>
      </c>
      <c r="AA198" s="24">
        <f t="shared" si="55"/>
        <v>14654.916000000001</v>
      </c>
      <c r="AB198" s="24"/>
      <c r="AC198" s="24">
        <f t="shared" si="51"/>
        <v>5566.5960000000005</v>
      </c>
      <c r="AD198" s="26">
        <f t="shared" si="56"/>
        <v>2653.1600000000003</v>
      </c>
      <c r="AE198" s="8"/>
      <c r="AF198" s="8"/>
      <c r="AG198" s="26"/>
      <c r="AH198" s="24">
        <f t="shared" si="57"/>
        <v>13405.272</v>
      </c>
      <c r="AI198" s="24">
        <v>57500</v>
      </c>
      <c r="AJ198" s="24">
        <f t="shared" si="66"/>
        <v>175408.59100000001</v>
      </c>
    </row>
    <row r="199" spans="1:36" ht="15.75">
      <c r="A199" s="3" t="s">
        <v>119</v>
      </c>
      <c r="B199" s="4" t="s">
        <v>3</v>
      </c>
      <c r="C199" s="3" t="s">
        <v>2</v>
      </c>
      <c r="D199" s="18">
        <v>1502.6</v>
      </c>
      <c r="E199" s="11">
        <f t="shared" si="58"/>
        <v>6491.231999999999</v>
      </c>
      <c r="F199" s="11">
        <f t="shared" si="59"/>
        <v>21457.127999999997</v>
      </c>
      <c r="G199" s="11">
        <f t="shared" si="60"/>
        <v>21276.816</v>
      </c>
      <c r="H199" s="11">
        <f t="shared" si="61"/>
        <v>4688.112</v>
      </c>
      <c r="I199" s="11">
        <f t="shared" si="62"/>
        <v>1081.8719999999998</v>
      </c>
      <c r="J199" s="11">
        <f t="shared" si="63"/>
        <v>3245.6159999999995</v>
      </c>
      <c r="K199" s="11">
        <f>36*8*4+36*6*2</f>
        <v>1584</v>
      </c>
      <c r="L199" s="8">
        <f>144.73*33</f>
        <v>4776.089999999999</v>
      </c>
      <c r="M199" s="8"/>
      <c r="N199" s="8">
        <f>878*20.77</f>
        <v>18236.06</v>
      </c>
      <c r="O199" s="16">
        <f t="shared" si="53"/>
        <v>4132.150000000001</v>
      </c>
      <c r="P199" s="24">
        <f t="shared" si="64"/>
        <v>86969.07599999999</v>
      </c>
      <c r="Q199" s="24"/>
      <c r="R199" s="26">
        <f t="shared" si="54"/>
        <v>55445.939999999995</v>
      </c>
      <c r="S199" s="11">
        <v>26400</v>
      </c>
      <c r="T199" s="11"/>
      <c r="U199" s="11"/>
      <c r="V199" s="11"/>
      <c r="W199" s="11">
        <f>2*220</f>
        <v>440</v>
      </c>
      <c r="X199" s="11"/>
      <c r="Y199" s="11"/>
      <c r="Z199" s="24">
        <f t="shared" si="65"/>
        <v>26840</v>
      </c>
      <c r="AA199" s="24">
        <f t="shared" si="55"/>
        <v>23260.248</v>
      </c>
      <c r="AB199" s="24"/>
      <c r="AC199" s="24">
        <f t="shared" si="51"/>
        <v>8835.287999999999</v>
      </c>
      <c r="AD199" s="26">
        <f t="shared" si="56"/>
        <v>4209.679999999999</v>
      </c>
      <c r="AE199" s="8"/>
      <c r="AF199" s="8"/>
      <c r="AG199" s="26"/>
      <c r="AH199" s="24">
        <f t="shared" si="57"/>
        <v>21276.816</v>
      </c>
      <c r="AI199" s="24">
        <v>57500</v>
      </c>
      <c r="AJ199" s="24">
        <f t="shared" si="66"/>
        <v>284337.04799999995</v>
      </c>
    </row>
    <row r="200" spans="1:36" ht="15.75">
      <c r="A200" s="5" t="s">
        <v>119</v>
      </c>
      <c r="B200" s="5" t="s">
        <v>64</v>
      </c>
      <c r="C200" s="6" t="s">
        <v>2</v>
      </c>
      <c r="D200" s="22">
        <v>1563.8</v>
      </c>
      <c r="E200" s="11">
        <f t="shared" si="58"/>
        <v>6755.616</v>
      </c>
      <c r="F200" s="11">
        <f t="shared" si="59"/>
        <v>22331.064</v>
      </c>
      <c r="G200" s="11">
        <f t="shared" si="60"/>
        <v>22143.408</v>
      </c>
      <c r="H200" s="11">
        <f t="shared" si="61"/>
        <v>4879.0560000000005</v>
      </c>
      <c r="I200" s="11">
        <f t="shared" si="62"/>
        <v>1125.936</v>
      </c>
      <c r="J200" s="11">
        <f t="shared" si="63"/>
        <v>3377.808</v>
      </c>
      <c r="K200" s="11">
        <f>4*6*2</f>
        <v>48</v>
      </c>
      <c r="L200" s="8">
        <f>144.73*74</f>
        <v>10710.019999999999</v>
      </c>
      <c r="M200" s="8"/>
      <c r="N200" s="8">
        <f>682*20.77</f>
        <v>14165.14</v>
      </c>
      <c r="O200" s="16">
        <f t="shared" si="53"/>
        <v>4300.45</v>
      </c>
      <c r="P200" s="24">
        <f t="shared" si="64"/>
        <v>89836.49799999999</v>
      </c>
      <c r="Q200" s="24"/>
      <c r="R200" s="26">
        <f t="shared" si="54"/>
        <v>57704.219999999994</v>
      </c>
      <c r="S200" s="11">
        <v>10500</v>
      </c>
      <c r="T200" s="11"/>
      <c r="U200" s="11">
        <v>17200</v>
      </c>
      <c r="V200" s="11"/>
      <c r="W200" s="11"/>
      <c r="X200" s="11">
        <v>48000</v>
      </c>
      <c r="Y200" s="11"/>
      <c r="Z200" s="24">
        <f t="shared" si="65"/>
        <v>75700</v>
      </c>
      <c r="AA200" s="24">
        <f t="shared" si="55"/>
        <v>24207.624</v>
      </c>
      <c r="AB200" s="24"/>
      <c r="AC200" s="24">
        <f t="shared" si="51"/>
        <v>9195.144</v>
      </c>
      <c r="AD200" s="26">
        <f t="shared" si="56"/>
        <v>4381.039999999999</v>
      </c>
      <c r="AE200" s="8"/>
      <c r="AF200" s="8"/>
      <c r="AG200" s="26"/>
      <c r="AH200" s="24">
        <f t="shared" si="57"/>
        <v>22143.408</v>
      </c>
      <c r="AI200" s="24"/>
      <c r="AJ200" s="24">
        <f t="shared" si="66"/>
        <v>283167.934</v>
      </c>
    </row>
    <row r="201" spans="1:36" ht="15.75">
      <c r="A201" s="3" t="s">
        <v>119</v>
      </c>
      <c r="B201" s="4" t="s">
        <v>128</v>
      </c>
      <c r="C201" s="3" t="s">
        <v>2</v>
      </c>
      <c r="D201" s="18">
        <v>1409.2</v>
      </c>
      <c r="E201" s="11">
        <f t="shared" si="58"/>
        <v>6087.744000000001</v>
      </c>
      <c r="F201" s="11">
        <f t="shared" si="59"/>
        <v>20123.375999999997</v>
      </c>
      <c r="G201" s="11">
        <f t="shared" si="60"/>
        <v>19954.272</v>
      </c>
      <c r="H201" s="11">
        <f t="shared" si="61"/>
        <v>4396.704000000001</v>
      </c>
      <c r="I201" s="11">
        <f t="shared" si="62"/>
        <v>1014.6239999999999</v>
      </c>
      <c r="J201" s="11">
        <f t="shared" si="63"/>
        <v>3043.8720000000003</v>
      </c>
      <c r="K201" s="11">
        <f>34*8*4+34*6*2</f>
        <v>1496</v>
      </c>
      <c r="L201" s="8">
        <f>144.73*2</f>
        <v>289.46</v>
      </c>
      <c r="M201" s="8"/>
      <c r="N201" s="8"/>
      <c r="O201" s="16">
        <f t="shared" si="53"/>
        <v>3875.3</v>
      </c>
      <c r="P201" s="24">
        <f t="shared" si="64"/>
        <v>60281.352</v>
      </c>
      <c r="Q201" s="24"/>
      <c r="R201" s="26">
        <f t="shared" si="54"/>
        <v>51999.48000000001</v>
      </c>
      <c r="S201" s="11">
        <v>3393</v>
      </c>
      <c r="T201" s="11"/>
      <c r="U201" s="11">
        <v>300</v>
      </c>
      <c r="V201" s="11"/>
      <c r="W201" s="11"/>
      <c r="X201" s="11"/>
      <c r="Y201" s="11"/>
      <c r="Z201" s="24">
        <f t="shared" si="65"/>
        <v>3693</v>
      </c>
      <c r="AA201" s="24">
        <f t="shared" si="55"/>
        <v>21814.416</v>
      </c>
      <c r="AB201" s="24"/>
      <c r="AC201" s="24">
        <f t="shared" si="51"/>
        <v>8286.096000000001</v>
      </c>
      <c r="AD201" s="26">
        <f t="shared" si="56"/>
        <v>3948.1600000000003</v>
      </c>
      <c r="AE201" s="8"/>
      <c r="AF201" s="8"/>
      <c r="AG201" s="26"/>
      <c r="AH201" s="24">
        <f t="shared" si="57"/>
        <v>19954.272</v>
      </c>
      <c r="AI201" s="24"/>
      <c r="AJ201" s="24">
        <f t="shared" si="66"/>
        <v>169976.776</v>
      </c>
    </row>
    <row r="202" spans="1:36" ht="15.75">
      <c r="A202" s="3" t="s">
        <v>129</v>
      </c>
      <c r="B202" s="4" t="s">
        <v>121</v>
      </c>
      <c r="C202" s="3" t="s">
        <v>2</v>
      </c>
      <c r="D202" s="18">
        <v>3232.9</v>
      </c>
      <c r="E202" s="11">
        <f t="shared" si="58"/>
        <v>13966.128</v>
      </c>
      <c r="F202" s="11">
        <f t="shared" si="59"/>
        <v>46165.812</v>
      </c>
      <c r="G202" s="11">
        <f t="shared" si="60"/>
        <v>45777.864</v>
      </c>
      <c r="H202" s="11">
        <f t="shared" si="61"/>
        <v>10086.648000000001</v>
      </c>
      <c r="I202" s="11">
        <f t="shared" si="62"/>
        <v>2327.688</v>
      </c>
      <c r="J202" s="11">
        <f t="shared" si="63"/>
        <v>6983.064</v>
      </c>
      <c r="K202" s="11">
        <f>70*6*2</f>
        <v>840</v>
      </c>
      <c r="L202" s="8">
        <f>144.73*3</f>
        <v>434.18999999999994</v>
      </c>
      <c r="M202" s="8"/>
      <c r="N202" s="8"/>
      <c r="O202" s="16">
        <f t="shared" si="53"/>
        <v>8890.475000000002</v>
      </c>
      <c r="P202" s="24">
        <f t="shared" si="64"/>
        <v>135471.869</v>
      </c>
      <c r="Q202" s="24">
        <f>D202*1.27*5+D202*1.34*7</f>
        <v>50853.51700000001</v>
      </c>
      <c r="R202" s="26">
        <f t="shared" si="54"/>
        <v>119294.01000000001</v>
      </c>
      <c r="S202" s="11">
        <v>11310</v>
      </c>
      <c r="T202" s="11"/>
      <c r="U202" s="11"/>
      <c r="V202" s="11"/>
      <c r="W202" s="11"/>
      <c r="X202" s="11"/>
      <c r="Y202" s="11"/>
      <c r="Z202" s="24">
        <f t="shared" si="65"/>
        <v>11310</v>
      </c>
      <c r="AA202" s="24">
        <f t="shared" si="55"/>
        <v>50045.292</v>
      </c>
      <c r="AB202" s="24"/>
      <c r="AC202" s="24">
        <f t="shared" si="51"/>
        <v>19009.452</v>
      </c>
      <c r="AD202" s="26">
        <f t="shared" si="56"/>
        <v>9054.52</v>
      </c>
      <c r="AE202" s="8"/>
      <c r="AF202" s="8"/>
      <c r="AG202" s="26"/>
      <c r="AH202" s="24">
        <f t="shared" si="57"/>
        <v>45777.864</v>
      </c>
      <c r="AI202" s="24"/>
      <c r="AJ202" s="24">
        <f t="shared" si="66"/>
        <v>440816.52400000003</v>
      </c>
    </row>
    <row r="203" spans="1:36" ht="15.75">
      <c r="A203" s="3" t="s">
        <v>129</v>
      </c>
      <c r="B203" s="4" t="s">
        <v>11</v>
      </c>
      <c r="C203" s="3" t="s">
        <v>2</v>
      </c>
      <c r="D203" s="21">
        <v>584.3</v>
      </c>
      <c r="E203" s="11">
        <f t="shared" si="58"/>
        <v>2524.176</v>
      </c>
      <c r="F203" s="11">
        <f t="shared" si="59"/>
        <v>8343.803999999998</v>
      </c>
      <c r="G203" s="11">
        <f t="shared" si="60"/>
        <v>8273.687999999998</v>
      </c>
      <c r="H203" s="11">
        <f t="shared" si="61"/>
        <v>1823.016</v>
      </c>
      <c r="I203" s="11">
        <f t="shared" si="62"/>
        <v>420.6959999999999</v>
      </c>
      <c r="J203" s="11">
        <f t="shared" si="63"/>
        <v>1262.088</v>
      </c>
      <c r="K203" s="11">
        <f>16*8*4+16*6*2</f>
        <v>704</v>
      </c>
      <c r="L203" s="8">
        <f>144.73*3</f>
        <v>434.18999999999994</v>
      </c>
      <c r="M203" s="8"/>
      <c r="N203" s="8"/>
      <c r="O203" s="16">
        <f t="shared" si="53"/>
        <v>1606.825</v>
      </c>
      <c r="P203" s="24">
        <f t="shared" si="64"/>
        <v>25392.482999999997</v>
      </c>
      <c r="Q203" s="24"/>
      <c r="R203" s="26">
        <f t="shared" si="54"/>
        <v>21560.67</v>
      </c>
      <c r="S203" s="11"/>
      <c r="T203" s="11"/>
      <c r="U203" s="11"/>
      <c r="V203" s="11"/>
      <c r="W203" s="11"/>
      <c r="X203" s="11"/>
      <c r="Y203" s="11"/>
      <c r="Z203" s="24">
        <f t="shared" si="65"/>
        <v>0</v>
      </c>
      <c r="AA203" s="24">
        <f t="shared" si="55"/>
        <v>9044.964</v>
      </c>
      <c r="AB203" s="24"/>
      <c r="AC203" s="24">
        <f t="shared" si="51"/>
        <v>3435.6839999999993</v>
      </c>
      <c r="AD203" s="26">
        <f t="shared" si="56"/>
        <v>1638.44</v>
      </c>
      <c r="AE203" s="8"/>
      <c r="AF203" s="8"/>
      <c r="AG203" s="26"/>
      <c r="AH203" s="24">
        <f t="shared" si="57"/>
        <v>8273.687999999998</v>
      </c>
      <c r="AI203" s="24"/>
      <c r="AJ203" s="24">
        <f t="shared" si="66"/>
        <v>69345.92899999999</v>
      </c>
    </row>
    <row r="204" spans="1:36" ht="15.75">
      <c r="A204" s="3" t="s">
        <v>129</v>
      </c>
      <c r="B204" s="4" t="s">
        <v>12</v>
      </c>
      <c r="C204" s="3" t="s">
        <v>2</v>
      </c>
      <c r="D204" s="18">
        <v>676.3</v>
      </c>
      <c r="E204" s="11">
        <f t="shared" si="58"/>
        <v>2921.6159999999995</v>
      </c>
      <c r="F204" s="11">
        <f t="shared" si="59"/>
        <v>9657.563999999998</v>
      </c>
      <c r="G204" s="11">
        <f t="shared" si="60"/>
        <v>9576.408</v>
      </c>
      <c r="H204" s="11">
        <f t="shared" si="61"/>
        <v>2110.056</v>
      </c>
      <c r="I204" s="11">
        <f t="shared" si="62"/>
        <v>486.9359999999999</v>
      </c>
      <c r="J204" s="11">
        <f t="shared" si="63"/>
        <v>1460.8079999999998</v>
      </c>
      <c r="K204" s="11">
        <f>16*8*4+16*6*2</f>
        <v>704</v>
      </c>
      <c r="L204" s="8">
        <f>144.73*22</f>
        <v>3184.06</v>
      </c>
      <c r="M204" s="8"/>
      <c r="N204" s="8"/>
      <c r="O204" s="16">
        <f t="shared" si="53"/>
        <v>1859.8250000000003</v>
      </c>
      <c r="P204" s="24">
        <f t="shared" si="64"/>
        <v>31961.273</v>
      </c>
      <c r="Q204" s="24"/>
      <c r="R204" s="26">
        <f t="shared" si="54"/>
        <v>24955.47</v>
      </c>
      <c r="S204" s="11">
        <v>1254</v>
      </c>
      <c r="T204" s="11"/>
      <c r="U204" s="11"/>
      <c r="V204" s="11"/>
      <c r="W204" s="11"/>
      <c r="X204" s="11"/>
      <c r="Y204" s="11"/>
      <c r="Z204" s="24">
        <f t="shared" si="65"/>
        <v>1254</v>
      </c>
      <c r="AA204" s="24">
        <f t="shared" si="55"/>
        <v>10469.124</v>
      </c>
      <c r="AB204" s="24"/>
      <c r="AC204" s="24">
        <f t="shared" si="51"/>
        <v>3976.6439999999993</v>
      </c>
      <c r="AD204" s="26">
        <f t="shared" si="56"/>
        <v>1896.04</v>
      </c>
      <c r="AE204" s="8"/>
      <c r="AF204" s="8"/>
      <c r="AG204" s="26"/>
      <c r="AH204" s="24">
        <f t="shared" si="57"/>
        <v>9576.408</v>
      </c>
      <c r="AI204" s="24"/>
      <c r="AJ204" s="24">
        <f t="shared" si="66"/>
        <v>84088.95899999999</v>
      </c>
    </row>
    <row r="205" spans="1:36" ht="15.75">
      <c r="A205" s="3" t="s">
        <v>129</v>
      </c>
      <c r="B205" s="4" t="s">
        <v>41</v>
      </c>
      <c r="C205" s="3" t="s">
        <v>2</v>
      </c>
      <c r="D205" s="18">
        <v>562.3</v>
      </c>
      <c r="E205" s="11">
        <f t="shared" si="58"/>
        <v>2429.1359999999995</v>
      </c>
      <c r="F205" s="11">
        <f t="shared" si="59"/>
        <v>8029.643999999999</v>
      </c>
      <c r="G205" s="11">
        <f t="shared" si="60"/>
        <v>7962.167999999999</v>
      </c>
      <c r="H205" s="11">
        <f t="shared" si="61"/>
        <v>1754.3759999999997</v>
      </c>
      <c r="I205" s="11">
        <f t="shared" si="62"/>
        <v>404.856</v>
      </c>
      <c r="J205" s="11">
        <f t="shared" si="63"/>
        <v>1214.5679999999998</v>
      </c>
      <c r="K205" s="11">
        <f>16*8*4+16*6*2</f>
        <v>704</v>
      </c>
      <c r="L205" s="8">
        <f>144.73*22</f>
        <v>3184.06</v>
      </c>
      <c r="M205" s="8"/>
      <c r="N205" s="8"/>
      <c r="O205" s="16">
        <f t="shared" si="53"/>
        <v>1546.3249999999998</v>
      </c>
      <c r="P205" s="24">
        <f t="shared" si="64"/>
        <v>27229.132999999998</v>
      </c>
      <c r="Q205" s="24"/>
      <c r="R205" s="26">
        <f t="shared" si="54"/>
        <v>20748.87</v>
      </c>
      <c r="S205" s="11"/>
      <c r="T205" s="11"/>
      <c r="U205" s="11"/>
      <c r="V205" s="11">
        <v>39750</v>
      </c>
      <c r="W205" s="11"/>
      <c r="X205" s="11"/>
      <c r="Y205" s="11"/>
      <c r="Z205" s="24">
        <f t="shared" si="65"/>
        <v>39750</v>
      </c>
      <c r="AA205" s="24">
        <f t="shared" si="55"/>
        <v>8704.403999999999</v>
      </c>
      <c r="AB205" s="24"/>
      <c r="AC205" s="24">
        <f t="shared" si="51"/>
        <v>3306.3239999999996</v>
      </c>
      <c r="AD205" s="26">
        <f t="shared" si="56"/>
        <v>1576.84</v>
      </c>
      <c r="AE205" s="8"/>
      <c r="AF205" s="8"/>
      <c r="AG205" s="26"/>
      <c r="AH205" s="24">
        <f t="shared" si="57"/>
        <v>7962.167999999999</v>
      </c>
      <c r="AI205" s="24"/>
      <c r="AJ205" s="24">
        <f t="shared" si="66"/>
        <v>109277.73899999999</v>
      </c>
    </row>
    <row r="206" spans="1:36" ht="15.75">
      <c r="A206" s="3" t="s">
        <v>129</v>
      </c>
      <c r="B206" s="4" t="s">
        <v>64</v>
      </c>
      <c r="C206" s="3" t="s">
        <v>2</v>
      </c>
      <c r="D206" s="18">
        <v>274.5</v>
      </c>
      <c r="E206" s="11">
        <f t="shared" si="58"/>
        <v>1185.84</v>
      </c>
      <c r="F206" s="11">
        <f t="shared" si="59"/>
        <v>3919.8599999999997</v>
      </c>
      <c r="G206" s="11">
        <f t="shared" si="60"/>
        <v>3886.9199999999996</v>
      </c>
      <c r="H206" s="11">
        <f t="shared" si="61"/>
        <v>856.44</v>
      </c>
      <c r="I206" s="11">
        <f t="shared" si="62"/>
        <v>197.64</v>
      </c>
      <c r="J206" s="11">
        <f t="shared" si="63"/>
        <v>592.92</v>
      </c>
      <c r="K206" s="11">
        <f>8*6*2</f>
        <v>96</v>
      </c>
      <c r="L206" s="8">
        <f>144.73*12</f>
        <v>1736.7599999999998</v>
      </c>
      <c r="M206" s="8"/>
      <c r="N206" s="8"/>
      <c r="O206" s="16">
        <f t="shared" si="53"/>
        <v>754.8750000000001</v>
      </c>
      <c r="P206" s="24">
        <f t="shared" si="64"/>
        <v>13227.255</v>
      </c>
      <c r="Q206" s="24"/>
      <c r="R206" s="26">
        <f t="shared" si="54"/>
        <v>10129.05</v>
      </c>
      <c r="S206" s="11"/>
      <c r="T206" s="11"/>
      <c r="U206" s="11"/>
      <c r="V206" s="11"/>
      <c r="W206" s="11"/>
      <c r="X206" s="11"/>
      <c r="Y206" s="11"/>
      <c r="Z206" s="24">
        <f t="shared" si="65"/>
        <v>0</v>
      </c>
      <c r="AA206" s="24">
        <f t="shared" si="55"/>
        <v>4249.26</v>
      </c>
      <c r="AB206" s="24"/>
      <c r="AC206" s="24">
        <f t="shared" si="51"/>
        <v>1614.06</v>
      </c>
      <c r="AD206" s="26">
        <f t="shared" si="56"/>
        <v>771.0000000000001</v>
      </c>
      <c r="AE206" s="8"/>
      <c r="AF206" s="8"/>
      <c r="AG206" s="26"/>
      <c r="AH206" s="24">
        <f t="shared" si="57"/>
        <v>3886.9199999999996</v>
      </c>
      <c r="AI206" s="24"/>
      <c r="AJ206" s="24">
        <f t="shared" si="66"/>
        <v>33877.545000000006</v>
      </c>
    </row>
    <row r="207" spans="1:36" ht="15.75">
      <c r="A207" s="3" t="s">
        <v>130</v>
      </c>
      <c r="B207" s="4" t="s">
        <v>80</v>
      </c>
      <c r="C207" s="3" t="s">
        <v>2</v>
      </c>
      <c r="D207" s="18">
        <v>3323.1</v>
      </c>
      <c r="E207" s="11">
        <f t="shared" si="58"/>
        <v>14355.792000000001</v>
      </c>
      <c r="F207" s="11">
        <f t="shared" si="59"/>
        <v>47453.867999999995</v>
      </c>
      <c r="G207" s="11">
        <f t="shared" si="60"/>
        <v>47055.096</v>
      </c>
      <c r="H207" s="11">
        <f t="shared" si="61"/>
        <v>10368.072</v>
      </c>
      <c r="I207" s="11">
        <f t="shared" si="62"/>
        <v>2392.632</v>
      </c>
      <c r="J207" s="11">
        <f t="shared" si="63"/>
        <v>7177.896000000001</v>
      </c>
      <c r="K207" s="11">
        <f>68*6*2</f>
        <v>816</v>
      </c>
      <c r="L207" s="8">
        <f>144.73*3</f>
        <v>434.18999999999994</v>
      </c>
      <c r="M207" s="8"/>
      <c r="N207" s="8"/>
      <c r="O207" s="16">
        <f t="shared" si="53"/>
        <v>9138.525000000001</v>
      </c>
      <c r="P207" s="24">
        <f t="shared" si="64"/>
        <v>139192.071</v>
      </c>
      <c r="Q207" s="24">
        <f>D207*1.27*5+D207*1.34*7</f>
        <v>52272.363</v>
      </c>
      <c r="R207" s="26">
        <f t="shared" si="54"/>
        <v>122622.38999999998</v>
      </c>
      <c r="S207" s="11"/>
      <c r="T207" s="11"/>
      <c r="U207" s="11"/>
      <c r="V207" s="11"/>
      <c r="W207" s="11"/>
      <c r="X207" s="11">
        <v>736800</v>
      </c>
      <c r="Y207" s="11"/>
      <c r="Z207" s="24">
        <f t="shared" si="65"/>
        <v>736800</v>
      </c>
      <c r="AA207" s="24">
        <f t="shared" si="55"/>
        <v>51441.588</v>
      </c>
      <c r="AB207" s="24"/>
      <c r="AC207" s="24">
        <f t="shared" si="51"/>
        <v>19539.828</v>
      </c>
      <c r="AD207" s="26">
        <f t="shared" si="56"/>
        <v>9307.08</v>
      </c>
      <c r="AE207" s="8"/>
      <c r="AF207" s="8"/>
      <c r="AG207" s="26"/>
      <c r="AH207" s="24">
        <f t="shared" si="57"/>
        <v>47055.096</v>
      </c>
      <c r="AI207" s="24">
        <v>57500</v>
      </c>
      <c r="AJ207" s="24">
        <f t="shared" si="66"/>
        <v>1235730.416</v>
      </c>
    </row>
    <row r="208" spans="1:36" ht="15.75">
      <c r="A208" s="5" t="s">
        <v>130</v>
      </c>
      <c r="B208" s="5" t="s">
        <v>131</v>
      </c>
      <c r="C208" s="6" t="s">
        <v>2</v>
      </c>
      <c r="D208" s="18">
        <v>95.1</v>
      </c>
      <c r="E208" s="11">
        <f t="shared" si="58"/>
        <v>410.832</v>
      </c>
      <c r="F208" s="11">
        <f t="shared" si="59"/>
        <v>1358.0279999999998</v>
      </c>
      <c r="G208" s="11">
        <f t="shared" si="60"/>
        <v>1346.616</v>
      </c>
      <c r="H208" s="11">
        <f t="shared" si="61"/>
        <v>296.712</v>
      </c>
      <c r="I208" s="11">
        <f t="shared" si="62"/>
        <v>68.472</v>
      </c>
      <c r="J208" s="11">
        <f t="shared" si="63"/>
        <v>205.416</v>
      </c>
      <c r="K208" s="11">
        <f>2*230</f>
        <v>460</v>
      </c>
      <c r="L208" s="8"/>
      <c r="M208" s="8"/>
      <c r="N208" s="8"/>
      <c r="O208" s="16">
        <f t="shared" si="53"/>
        <v>261.525</v>
      </c>
      <c r="P208" s="24">
        <f t="shared" si="64"/>
        <v>4407.601</v>
      </c>
      <c r="Q208" s="24"/>
      <c r="R208" s="26">
        <f t="shared" si="54"/>
        <v>3509.1899999999996</v>
      </c>
      <c r="S208" s="11"/>
      <c r="T208" s="11"/>
      <c r="U208" s="11"/>
      <c r="V208" s="11"/>
      <c r="W208" s="11"/>
      <c r="X208" s="11"/>
      <c r="Y208" s="11"/>
      <c r="Z208" s="24">
        <f t="shared" si="65"/>
        <v>0</v>
      </c>
      <c r="AA208" s="24">
        <f t="shared" si="55"/>
        <v>1472.1480000000001</v>
      </c>
      <c r="AB208" s="24"/>
      <c r="AC208" s="24">
        <f t="shared" si="51"/>
        <v>559.188</v>
      </c>
      <c r="AD208" s="26">
        <f t="shared" si="56"/>
        <v>268.67999999999995</v>
      </c>
      <c r="AE208" s="8"/>
      <c r="AF208" s="8"/>
      <c r="AG208" s="26"/>
      <c r="AH208" s="24">
        <f t="shared" si="57"/>
        <v>1346.616</v>
      </c>
      <c r="AI208" s="24"/>
      <c r="AJ208" s="24">
        <f t="shared" si="66"/>
        <v>11563.422999999999</v>
      </c>
    </row>
    <row r="209" spans="1:36" ht="15.75">
      <c r="A209" s="3" t="s">
        <v>132</v>
      </c>
      <c r="B209" s="4" t="s">
        <v>34</v>
      </c>
      <c r="C209" s="3" t="s">
        <v>2</v>
      </c>
      <c r="D209" s="18">
        <v>509.2</v>
      </c>
      <c r="E209" s="11">
        <f t="shared" si="58"/>
        <v>2199.7439999999997</v>
      </c>
      <c r="F209" s="11">
        <f t="shared" si="59"/>
        <v>7271.376</v>
      </c>
      <c r="G209" s="11">
        <f t="shared" si="60"/>
        <v>7210.272</v>
      </c>
      <c r="H209" s="11">
        <f t="shared" si="61"/>
        <v>1588.704</v>
      </c>
      <c r="I209" s="11">
        <f t="shared" si="62"/>
        <v>366.624</v>
      </c>
      <c r="J209" s="11">
        <f t="shared" si="63"/>
        <v>1099.8719999999998</v>
      </c>
      <c r="K209" s="11">
        <f>12*8*4+12*6*2</f>
        <v>528</v>
      </c>
      <c r="L209" s="8">
        <f>144.73*16</f>
        <v>2315.68</v>
      </c>
      <c r="M209" s="8"/>
      <c r="N209" s="8">
        <f>105*20.77</f>
        <v>2180.85</v>
      </c>
      <c r="O209" s="16">
        <f t="shared" si="53"/>
        <v>1400.3</v>
      </c>
      <c r="P209" s="24">
        <f t="shared" si="64"/>
        <v>26161.422</v>
      </c>
      <c r="Q209" s="24">
        <f>D209*1.27*5+D209*1.34*7</f>
        <v>8009.716</v>
      </c>
      <c r="R209" s="26">
        <f t="shared" si="54"/>
        <v>18789.48</v>
      </c>
      <c r="S209" s="11"/>
      <c r="T209" s="11"/>
      <c r="U209" s="11"/>
      <c r="V209" s="11"/>
      <c r="W209" s="11"/>
      <c r="X209" s="11"/>
      <c r="Y209" s="11"/>
      <c r="Z209" s="24">
        <f t="shared" si="65"/>
        <v>0</v>
      </c>
      <c r="AA209" s="24">
        <f t="shared" si="55"/>
        <v>7882.416000000001</v>
      </c>
      <c r="AB209" s="24"/>
      <c r="AC209" s="24">
        <f t="shared" si="51"/>
        <v>2994.0959999999995</v>
      </c>
      <c r="AD209" s="26">
        <f t="shared" si="56"/>
        <v>1428.16</v>
      </c>
      <c r="AE209" s="8"/>
      <c r="AF209" s="8"/>
      <c r="AG209" s="26"/>
      <c r="AH209" s="24">
        <f t="shared" si="57"/>
        <v>7210.272</v>
      </c>
      <c r="AI209" s="24">
        <v>57500</v>
      </c>
      <c r="AJ209" s="24">
        <f t="shared" si="66"/>
        <v>129975.562</v>
      </c>
    </row>
    <row r="210" spans="1:36" ht="15.75">
      <c r="A210" s="3" t="s">
        <v>133</v>
      </c>
      <c r="B210" s="4" t="s">
        <v>1</v>
      </c>
      <c r="C210" s="3" t="s">
        <v>2</v>
      </c>
      <c r="D210" s="21">
        <v>538.9</v>
      </c>
      <c r="E210" s="11">
        <f t="shared" si="58"/>
        <v>2328.048</v>
      </c>
      <c r="F210" s="11">
        <f t="shared" si="59"/>
        <v>7695.491999999999</v>
      </c>
      <c r="G210" s="11">
        <f t="shared" si="60"/>
        <v>7630.823999999999</v>
      </c>
      <c r="H210" s="11">
        <f t="shared" si="61"/>
        <v>1681.368</v>
      </c>
      <c r="I210" s="11">
        <f t="shared" si="62"/>
        <v>388.0079999999999</v>
      </c>
      <c r="J210" s="11">
        <f t="shared" si="63"/>
        <v>1164.024</v>
      </c>
      <c r="K210" s="11">
        <f>8*8*4+8*6*2</f>
        <v>352</v>
      </c>
      <c r="L210" s="8"/>
      <c r="M210" s="8"/>
      <c r="N210" s="8">
        <f>501*20.77</f>
        <v>10405.77</v>
      </c>
      <c r="O210" s="16">
        <f t="shared" si="53"/>
        <v>1481.9750000000001</v>
      </c>
      <c r="P210" s="24">
        <f t="shared" si="64"/>
        <v>33127.509</v>
      </c>
      <c r="Q210" s="24"/>
      <c r="R210" s="26">
        <f t="shared" si="54"/>
        <v>19885.409999999996</v>
      </c>
      <c r="S210" s="11"/>
      <c r="T210" s="11"/>
      <c r="U210" s="11">
        <v>540</v>
      </c>
      <c r="V210" s="11"/>
      <c r="W210" s="11"/>
      <c r="X210" s="11"/>
      <c r="Y210" s="11"/>
      <c r="Z210" s="24">
        <f t="shared" si="65"/>
        <v>540</v>
      </c>
      <c r="AA210" s="24">
        <f t="shared" si="55"/>
        <v>8342.172</v>
      </c>
      <c r="AB210" s="24"/>
      <c r="AC210" s="24">
        <f t="shared" si="51"/>
        <v>3168.732</v>
      </c>
      <c r="AD210" s="26">
        <f t="shared" si="56"/>
        <v>1511.3200000000002</v>
      </c>
      <c r="AE210" s="8"/>
      <c r="AF210" s="8"/>
      <c r="AG210" s="26"/>
      <c r="AH210" s="24">
        <f t="shared" si="57"/>
        <v>7630.823999999999</v>
      </c>
      <c r="AI210" s="24"/>
      <c r="AJ210" s="24">
        <f t="shared" si="66"/>
        <v>74205.96699999999</v>
      </c>
    </row>
    <row r="211" spans="1:36" ht="15.75">
      <c r="A211" s="3" t="s">
        <v>133</v>
      </c>
      <c r="B211" s="4" t="s">
        <v>68</v>
      </c>
      <c r="C211" s="3" t="s">
        <v>2</v>
      </c>
      <c r="D211" s="18">
        <v>2037.5</v>
      </c>
      <c r="E211" s="11">
        <f t="shared" si="58"/>
        <v>8802</v>
      </c>
      <c r="F211" s="11">
        <f t="shared" si="59"/>
        <v>29095.5</v>
      </c>
      <c r="G211" s="11">
        <f t="shared" si="60"/>
        <v>28851</v>
      </c>
      <c r="H211" s="11">
        <f t="shared" si="61"/>
        <v>6357</v>
      </c>
      <c r="I211" s="11">
        <f t="shared" si="62"/>
        <v>1467</v>
      </c>
      <c r="J211" s="11">
        <f t="shared" si="63"/>
        <v>4401</v>
      </c>
      <c r="K211" s="11">
        <f>48*8*4+48*6*2</f>
        <v>2112</v>
      </c>
      <c r="L211" s="8">
        <f>144.73*3</f>
        <v>434.18999999999994</v>
      </c>
      <c r="M211" s="8"/>
      <c r="N211" s="8"/>
      <c r="O211" s="16">
        <f t="shared" si="53"/>
        <v>5603.125</v>
      </c>
      <c r="P211" s="24">
        <f t="shared" si="64"/>
        <v>87122.815</v>
      </c>
      <c r="Q211" s="24">
        <f>D211*1.27*5+D211*1.34*7</f>
        <v>32049.875</v>
      </c>
      <c r="R211" s="26">
        <f t="shared" si="54"/>
        <v>75183.75</v>
      </c>
      <c r="S211" s="11">
        <v>17400</v>
      </c>
      <c r="T211" s="11"/>
      <c r="U211" s="11"/>
      <c r="V211" s="11"/>
      <c r="W211" s="11"/>
      <c r="X211" s="11"/>
      <c r="Y211" s="11"/>
      <c r="Z211" s="24">
        <f t="shared" si="65"/>
        <v>17400</v>
      </c>
      <c r="AA211" s="24">
        <f t="shared" si="55"/>
        <v>31540.5</v>
      </c>
      <c r="AB211" s="24"/>
      <c r="AC211" s="24">
        <f t="shared" si="51"/>
        <v>11980.5</v>
      </c>
      <c r="AD211" s="26">
        <f t="shared" si="56"/>
        <v>5707.4</v>
      </c>
      <c r="AE211" s="8"/>
      <c r="AF211" s="8"/>
      <c r="AG211" s="26"/>
      <c r="AH211" s="24">
        <f t="shared" si="57"/>
        <v>28851</v>
      </c>
      <c r="AI211" s="24"/>
      <c r="AJ211" s="24">
        <f t="shared" si="66"/>
        <v>289835.83999999997</v>
      </c>
    </row>
    <row r="212" spans="1:36" ht="15.75">
      <c r="A212" s="3" t="s">
        <v>133</v>
      </c>
      <c r="B212" s="4" t="s">
        <v>86</v>
      </c>
      <c r="C212" s="3" t="s">
        <v>2</v>
      </c>
      <c r="D212" s="18">
        <v>2561.4</v>
      </c>
      <c r="E212" s="11">
        <f t="shared" si="58"/>
        <v>11065.248</v>
      </c>
      <c r="F212" s="11">
        <f t="shared" si="59"/>
        <v>36576.792</v>
      </c>
      <c r="G212" s="11">
        <f t="shared" si="60"/>
        <v>36269.424</v>
      </c>
      <c r="H212" s="11">
        <f t="shared" si="61"/>
        <v>7991.568000000001</v>
      </c>
      <c r="I212" s="11">
        <f t="shared" si="62"/>
        <v>1844.208</v>
      </c>
      <c r="J212" s="11">
        <f t="shared" si="63"/>
        <v>5532.624</v>
      </c>
      <c r="K212" s="11">
        <f>60*8+60*6*2</f>
        <v>1200</v>
      </c>
      <c r="L212" s="8">
        <f>144.73*3</f>
        <v>434.18999999999994</v>
      </c>
      <c r="M212" s="8"/>
      <c r="N212" s="8">
        <f>894*20.77</f>
        <v>18568.38</v>
      </c>
      <c r="O212" s="16">
        <f t="shared" si="53"/>
        <v>7043.850000000001</v>
      </c>
      <c r="P212" s="24">
        <f t="shared" si="64"/>
        <v>126526.28400000001</v>
      </c>
      <c r="Q212" s="24">
        <f>D212*1.27*5+D212*1.34*7</f>
        <v>40290.822</v>
      </c>
      <c r="R212" s="26">
        <f t="shared" si="54"/>
        <v>94515.66</v>
      </c>
      <c r="S212" s="11">
        <v>13195</v>
      </c>
      <c r="T212" s="11"/>
      <c r="U212" s="11">
        <v>491</v>
      </c>
      <c r="V212" s="11">
        <v>66780</v>
      </c>
      <c r="W212" s="11"/>
      <c r="X212" s="11"/>
      <c r="Y212" s="11"/>
      <c r="Z212" s="24">
        <f t="shared" si="65"/>
        <v>80466</v>
      </c>
      <c r="AA212" s="24">
        <f t="shared" si="55"/>
        <v>39650.472</v>
      </c>
      <c r="AB212" s="24"/>
      <c r="AC212" s="24">
        <f t="shared" si="51"/>
        <v>15061.032</v>
      </c>
      <c r="AD212" s="26">
        <f t="shared" si="56"/>
        <v>7174.320000000001</v>
      </c>
      <c r="AE212" s="8"/>
      <c r="AF212" s="8"/>
      <c r="AG212" s="26"/>
      <c r="AH212" s="24">
        <f t="shared" si="57"/>
        <v>36269.424</v>
      </c>
      <c r="AI212" s="24"/>
      <c r="AJ212" s="24">
        <f t="shared" si="66"/>
        <v>439954.0140000001</v>
      </c>
    </row>
    <row r="213" spans="1:36" ht="15.75">
      <c r="A213" s="3" t="s">
        <v>133</v>
      </c>
      <c r="B213" s="4" t="s">
        <v>70</v>
      </c>
      <c r="C213" s="3" t="s">
        <v>2</v>
      </c>
      <c r="D213" s="18">
        <v>2543.2</v>
      </c>
      <c r="E213" s="11">
        <f t="shared" si="58"/>
        <v>10986.624</v>
      </c>
      <c r="F213" s="11">
        <f t="shared" si="59"/>
        <v>36316.89599999999</v>
      </c>
      <c r="G213" s="11">
        <f t="shared" si="60"/>
        <v>36011.712</v>
      </c>
      <c r="H213" s="11">
        <f t="shared" si="61"/>
        <v>7934.784</v>
      </c>
      <c r="I213" s="11">
        <f t="shared" si="62"/>
        <v>1831.1039999999998</v>
      </c>
      <c r="J213" s="11">
        <f t="shared" si="63"/>
        <v>5493.312</v>
      </c>
      <c r="K213" s="11">
        <f>60*8+60*6*2</f>
        <v>1200</v>
      </c>
      <c r="L213" s="8">
        <f>144.73*3</f>
        <v>434.18999999999994</v>
      </c>
      <c r="M213" s="8"/>
      <c r="N213" s="8">
        <f>894*20.77</f>
        <v>18568.38</v>
      </c>
      <c r="O213" s="16">
        <f t="shared" si="53"/>
        <v>6993.8</v>
      </c>
      <c r="P213" s="24">
        <f t="shared" si="64"/>
        <v>125770.80200000001</v>
      </c>
      <c r="Q213" s="24">
        <f>D213*1.27*5+D213*1.34*7</f>
        <v>40004.536</v>
      </c>
      <c r="R213" s="26">
        <f t="shared" si="54"/>
        <v>93844.08</v>
      </c>
      <c r="S213" s="11">
        <v>1740</v>
      </c>
      <c r="T213" s="11"/>
      <c r="U213" s="11">
        <v>420</v>
      </c>
      <c r="V213" s="11"/>
      <c r="W213" s="11"/>
      <c r="X213" s="11"/>
      <c r="Y213" s="11"/>
      <c r="Z213" s="24">
        <f t="shared" si="65"/>
        <v>2160</v>
      </c>
      <c r="AA213" s="24">
        <f t="shared" si="55"/>
        <v>39368.736000000004</v>
      </c>
      <c r="AB213" s="24"/>
      <c r="AC213" s="24">
        <f t="shared" si="51"/>
        <v>14954.016</v>
      </c>
      <c r="AD213" s="26">
        <f t="shared" si="56"/>
        <v>7123.36</v>
      </c>
      <c r="AE213" s="8"/>
      <c r="AF213" s="8"/>
      <c r="AG213" s="26"/>
      <c r="AH213" s="24">
        <f t="shared" si="57"/>
        <v>36011.712</v>
      </c>
      <c r="AI213" s="24"/>
      <c r="AJ213" s="24">
        <f t="shared" si="66"/>
        <v>359237.24199999997</v>
      </c>
    </row>
    <row r="214" spans="1:36" ht="15.75">
      <c r="A214" s="3" t="s">
        <v>133</v>
      </c>
      <c r="B214" s="4" t="s">
        <v>71</v>
      </c>
      <c r="C214" s="3" t="s">
        <v>2</v>
      </c>
      <c r="D214" s="18">
        <v>529.2</v>
      </c>
      <c r="E214" s="11">
        <f t="shared" si="58"/>
        <v>2286.1440000000002</v>
      </c>
      <c r="F214" s="11">
        <f t="shared" si="59"/>
        <v>7556.976000000001</v>
      </c>
      <c r="G214" s="11">
        <f t="shared" si="60"/>
        <v>7493.472</v>
      </c>
      <c r="H214" s="11">
        <f t="shared" si="61"/>
        <v>1651.1040000000003</v>
      </c>
      <c r="I214" s="11">
        <f t="shared" si="62"/>
        <v>381.024</v>
      </c>
      <c r="J214" s="11">
        <f t="shared" si="63"/>
        <v>1143.0720000000001</v>
      </c>
      <c r="K214" s="11">
        <f>8*8*4+8*6*2</f>
        <v>352</v>
      </c>
      <c r="L214" s="8">
        <f>144.79*12</f>
        <v>1737.48</v>
      </c>
      <c r="M214" s="8"/>
      <c r="N214" s="8">
        <f>498*20.77</f>
        <v>10343.46</v>
      </c>
      <c r="O214" s="16">
        <f t="shared" si="53"/>
        <v>1455.3000000000002</v>
      </c>
      <c r="P214" s="24">
        <f t="shared" si="64"/>
        <v>34400.03200000001</v>
      </c>
      <c r="Q214" s="24"/>
      <c r="R214" s="26">
        <f t="shared" si="54"/>
        <v>19527.480000000003</v>
      </c>
      <c r="S214" s="11">
        <v>13860</v>
      </c>
      <c r="T214" s="11"/>
      <c r="U214" s="11">
        <v>310</v>
      </c>
      <c r="V214" s="11"/>
      <c r="W214" s="11"/>
      <c r="X214" s="11"/>
      <c r="Y214" s="11"/>
      <c r="Z214" s="24">
        <f t="shared" si="65"/>
        <v>14170</v>
      </c>
      <c r="AA214" s="24">
        <f t="shared" si="55"/>
        <v>8192.016000000001</v>
      </c>
      <c r="AB214" s="24"/>
      <c r="AC214" s="24">
        <f t="shared" si="51"/>
        <v>3111.696</v>
      </c>
      <c r="AD214" s="26">
        <f t="shared" si="56"/>
        <v>1484.1600000000003</v>
      </c>
      <c r="AE214" s="8"/>
      <c r="AF214" s="8"/>
      <c r="AG214" s="26"/>
      <c r="AH214" s="24">
        <f t="shared" si="57"/>
        <v>7493.472</v>
      </c>
      <c r="AI214" s="24"/>
      <c r="AJ214" s="24">
        <f t="shared" si="66"/>
        <v>88378.85600000001</v>
      </c>
    </row>
    <row r="215" spans="1:36" ht="15.75">
      <c r="A215" s="3" t="s">
        <v>133</v>
      </c>
      <c r="B215" s="4" t="s">
        <v>127</v>
      </c>
      <c r="C215" s="3" t="s">
        <v>2</v>
      </c>
      <c r="D215" s="18">
        <v>2391.3</v>
      </c>
      <c r="E215" s="11">
        <f t="shared" si="58"/>
        <v>10330.416000000001</v>
      </c>
      <c r="F215" s="11">
        <f t="shared" si="59"/>
        <v>34147.763999999996</v>
      </c>
      <c r="G215" s="11">
        <f t="shared" si="60"/>
        <v>33860.808</v>
      </c>
      <c r="H215" s="11">
        <f t="shared" si="61"/>
        <v>7460.856000000001</v>
      </c>
      <c r="I215" s="11">
        <f t="shared" si="62"/>
        <v>1721.736</v>
      </c>
      <c r="J215" s="11">
        <f t="shared" si="63"/>
        <v>5165.2080000000005</v>
      </c>
      <c r="K215" s="11">
        <f>56*8+56*6*2</f>
        <v>1120</v>
      </c>
      <c r="L215" s="8">
        <f>144.73*2</f>
        <v>289.46</v>
      </c>
      <c r="M215" s="8"/>
      <c r="N215" s="8">
        <f>894*20.77</f>
        <v>18568.38</v>
      </c>
      <c r="O215" s="16">
        <f t="shared" si="53"/>
        <v>6576.075000000001</v>
      </c>
      <c r="P215" s="24">
        <f t="shared" si="64"/>
        <v>119240.703</v>
      </c>
      <c r="Q215" s="24">
        <f>D215*1.27*5+D215*1.34*7</f>
        <v>37615.149000000005</v>
      </c>
      <c r="R215" s="26">
        <f t="shared" si="54"/>
        <v>88238.97</v>
      </c>
      <c r="S215" s="11">
        <v>30000</v>
      </c>
      <c r="T215" s="11"/>
      <c r="U215" s="11">
        <v>23140</v>
      </c>
      <c r="V215" s="11"/>
      <c r="W215" s="11"/>
      <c r="X215" s="11"/>
      <c r="Y215" s="11"/>
      <c r="Z215" s="24">
        <f t="shared" si="65"/>
        <v>53140</v>
      </c>
      <c r="AA215" s="24">
        <f t="shared" si="55"/>
        <v>37017.32400000001</v>
      </c>
      <c r="AB215" s="24"/>
      <c r="AC215" s="24">
        <f t="shared" si="51"/>
        <v>14060.844000000001</v>
      </c>
      <c r="AD215" s="26">
        <f t="shared" si="56"/>
        <v>6698.04</v>
      </c>
      <c r="AE215" s="8"/>
      <c r="AF215" s="8"/>
      <c r="AG215" s="26"/>
      <c r="AH215" s="24">
        <f t="shared" si="57"/>
        <v>33860.808</v>
      </c>
      <c r="AI215" s="24">
        <v>57500</v>
      </c>
      <c r="AJ215" s="24">
        <f t="shared" si="66"/>
        <v>447371.83800000005</v>
      </c>
    </row>
    <row r="216" spans="1:36" ht="15.75">
      <c r="A216" s="3" t="s">
        <v>133</v>
      </c>
      <c r="B216" s="4" t="s">
        <v>44</v>
      </c>
      <c r="C216" s="3" t="s">
        <v>2</v>
      </c>
      <c r="D216" s="18">
        <v>2271.4</v>
      </c>
      <c r="E216" s="11">
        <f t="shared" si="58"/>
        <v>9812.448</v>
      </c>
      <c r="F216" s="11">
        <f t="shared" si="59"/>
        <v>32435.591999999997</v>
      </c>
      <c r="G216" s="11">
        <f t="shared" si="60"/>
        <v>32163.023999999998</v>
      </c>
      <c r="H216" s="11">
        <f t="shared" si="61"/>
        <v>7086.768000000001</v>
      </c>
      <c r="I216" s="11">
        <f t="shared" si="62"/>
        <v>1635.408</v>
      </c>
      <c r="J216" s="11">
        <f t="shared" si="63"/>
        <v>4906.224</v>
      </c>
      <c r="K216" s="11">
        <f>32*8*4+32*6*2</f>
        <v>1408</v>
      </c>
      <c r="L216" s="8"/>
      <c r="M216" s="8"/>
      <c r="N216" s="8">
        <f>946*20.77</f>
        <v>19648.42</v>
      </c>
      <c r="O216" s="16">
        <f t="shared" si="53"/>
        <v>6246.350000000001</v>
      </c>
      <c r="P216" s="24">
        <f t="shared" si="64"/>
        <v>115342.23399999998</v>
      </c>
      <c r="Q216" s="24">
        <f>D216*1.27*5+D216*1.34*7</f>
        <v>35729.122</v>
      </c>
      <c r="R216" s="26">
        <f t="shared" si="54"/>
        <v>83814.66</v>
      </c>
      <c r="S216" s="11"/>
      <c r="T216" s="11"/>
      <c r="U216" s="11"/>
      <c r="V216" s="11"/>
      <c r="W216" s="11"/>
      <c r="X216" s="11"/>
      <c r="Y216" s="11"/>
      <c r="Z216" s="24">
        <f t="shared" si="65"/>
        <v>0</v>
      </c>
      <c r="AA216" s="24">
        <f t="shared" si="55"/>
        <v>35161.272000000004</v>
      </c>
      <c r="AB216" s="24"/>
      <c r="AC216" s="24">
        <f t="shared" si="51"/>
        <v>13355.832000000002</v>
      </c>
      <c r="AD216" s="26">
        <f t="shared" si="56"/>
        <v>6362.32</v>
      </c>
      <c r="AE216" s="8"/>
      <c r="AF216" s="8"/>
      <c r="AG216" s="26"/>
      <c r="AH216" s="24">
        <f t="shared" si="57"/>
        <v>32163.023999999998</v>
      </c>
      <c r="AI216" s="24"/>
      <c r="AJ216" s="24">
        <f t="shared" si="66"/>
        <v>321928.464</v>
      </c>
    </row>
    <row r="217" spans="1:36" ht="15.75">
      <c r="A217" s="3" t="s">
        <v>133</v>
      </c>
      <c r="B217" s="4" t="s">
        <v>64</v>
      </c>
      <c r="C217" s="3" t="s">
        <v>2</v>
      </c>
      <c r="D217" s="18">
        <v>2891.4</v>
      </c>
      <c r="E217" s="11">
        <f t="shared" si="58"/>
        <v>12490.848</v>
      </c>
      <c r="F217" s="11">
        <f t="shared" si="59"/>
        <v>41289.192</v>
      </c>
      <c r="G217" s="11">
        <f t="shared" si="60"/>
        <v>40942.224</v>
      </c>
      <c r="H217" s="11">
        <f t="shared" si="61"/>
        <v>9021.168</v>
      </c>
      <c r="I217" s="11">
        <f t="shared" si="62"/>
        <v>2081.808</v>
      </c>
      <c r="J217" s="11">
        <f t="shared" si="63"/>
        <v>6245.424</v>
      </c>
      <c r="K217" s="11">
        <f>32*8*4+32*6*2</f>
        <v>1408</v>
      </c>
      <c r="L217" s="8">
        <f>144.73*3</f>
        <v>434.18999999999994</v>
      </c>
      <c r="M217" s="8"/>
      <c r="N217" s="8"/>
      <c r="O217" s="16">
        <f t="shared" si="53"/>
        <v>7951.350000000001</v>
      </c>
      <c r="P217" s="24">
        <f t="shared" si="64"/>
        <v>121864.20400000001</v>
      </c>
      <c r="Q217" s="24">
        <f>D217*1.27*5+D217*1.34*7</f>
        <v>45481.722</v>
      </c>
      <c r="R217" s="26">
        <f t="shared" si="54"/>
        <v>106692.66</v>
      </c>
      <c r="S217" s="11">
        <v>36000</v>
      </c>
      <c r="T217" s="11"/>
      <c r="U217" s="11"/>
      <c r="V217" s="11">
        <v>57240</v>
      </c>
      <c r="W217" s="11"/>
      <c r="X217" s="11"/>
      <c r="Y217" s="11"/>
      <c r="Z217" s="24">
        <f t="shared" si="65"/>
        <v>93240</v>
      </c>
      <c r="AA217" s="24">
        <f t="shared" si="55"/>
        <v>44758.872</v>
      </c>
      <c r="AB217" s="24"/>
      <c r="AC217" s="24">
        <f t="shared" si="51"/>
        <v>17001.432</v>
      </c>
      <c r="AD217" s="26">
        <f t="shared" si="56"/>
        <v>8098.320000000001</v>
      </c>
      <c r="AE217" s="8"/>
      <c r="AF217" s="8"/>
      <c r="AG217" s="26"/>
      <c r="AH217" s="24">
        <f t="shared" si="57"/>
        <v>40942.224</v>
      </c>
      <c r="AI217" s="24"/>
      <c r="AJ217" s="24">
        <f t="shared" si="66"/>
        <v>478079.434</v>
      </c>
    </row>
    <row r="218" spans="1:36" ht="15.75">
      <c r="A218" s="3" t="s">
        <v>133</v>
      </c>
      <c r="B218" s="4" t="s">
        <v>66</v>
      </c>
      <c r="C218" s="3" t="s">
        <v>2</v>
      </c>
      <c r="D218" s="18">
        <v>2037.3</v>
      </c>
      <c r="E218" s="11">
        <f t="shared" si="58"/>
        <v>8801.136</v>
      </c>
      <c r="F218" s="11">
        <f t="shared" si="59"/>
        <v>29092.643999999997</v>
      </c>
      <c r="G218" s="11">
        <f t="shared" si="60"/>
        <v>28848.167999999998</v>
      </c>
      <c r="H218" s="11">
        <f t="shared" si="61"/>
        <v>6356.376</v>
      </c>
      <c r="I218" s="11">
        <f t="shared" si="62"/>
        <v>1466.856</v>
      </c>
      <c r="J218" s="11">
        <f t="shared" si="63"/>
        <v>4400.568</v>
      </c>
      <c r="K218" s="11">
        <f>48*8*4+48*6*2</f>
        <v>2112</v>
      </c>
      <c r="L218" s="8">
        <f>144.73*3</f>
        <v>434.18999999999994</v>
      </c>
      <c r="M218" s="8"/>
      <c r="N218" s="8">
        <f>1001*20.77</f>
        <v>20790.77</v>
      </c>
      <c r="O218" s="16">
        <f t="shared" si="53"/>
        <v>5602.575000000001</v>
      </c>
      <c r="P218" s="24">
        <f t="shared" si="64"/>
        <v>107905.28300000001</v>
      </c>
      <c r="Q218" s="24">
        <f>D218*1.27*5+D218*1.34*7</f>
        <v>32046.729</v>
      </c>
      <c r="R218" s="26">
        <f t="shared" si="54"/>
        <v>75176.37</v>
      </c>
      <c r="S218" s="11">
        <v>15750</v>
      </c>
      <c r="T218" s="11"/>
      <c r="U218" s="11"/>
      <c r="V218" s="11">
        <v>69960</v>
      </c>
      <c r="W218" s="11"/>
      <c r="X218" s="11"/>
      <c r="Y218" s="11"/>
      <c r="Z218" s="24">
        <f t="shared" si="65"/>
        <v>85710</v>
      </c>
      <c r="AA218" s="24">
        <f t="shared" si="55"/>
        <v>31537.404000000002</v>
      </c>
      <c r="AB218" s="24"/>
      <c r="AC218" s="24">
        <f t="shared" si="51"/>
        <v>11979.323999999999</v>
      </c>
      <c r="AD218" s="26">
        <f t="shared" si="56"/>
        <v>5706.84</v>
      </c>
      <c r="AE218" s="8"/>
      <c r="AF218" s="8"/>
      <c r="AG218" s="26"/>
      <c r="AH218" s="24">
        <f t="shared" si="57"/>
        <v>28848.167999999998</v>
      </c>
      <c r="AI218" s="24"/>
      <c r="AJ218" s="24">
        <f t="shared" si="66"/>
        <v>378910.118</v>
      </c>
    </row>
    <row r="219" spans="1:36" ht="15.75">
      <c r="A219" s="5" t="s">
        <v>134</v>
      </c>
      <c r="B219" s="5" t="s">
        <v>16</v>
      </c>
      <c r="C219" s="3" t="s">
        <v>2</v>
      </c>
      <c r="D219" s="21">
        <v>47.3</v>
      </c>
      <c r="E219" s="11">
        <f t="shared" si="58"/>
        <v>204.33599999999998</v>
      </c>
      <c r="F219" s="11">
        <f t="shared" si="59"/>
        <v>675.444</v>
      </c>
      <c r="G219" s="11">
        <f t="shared" si="60"/>
        <v>669.7679999999999</v>
      </c>
      <c r="H219" s="11">
        <f t="shared" si="61"/>
        <v>147.576</v>
      </c>
      <c r="I219" s="11">
        <f t="shared" si="62"/>
        <v>34.056</v>
      </c>
      <c r="J219" s="11">
        <f t="shared" si="63"/>
        <v>102.16799999999999</v>
      </c>
      <c r="K219" s="11">
        <f>2*6*2</f>
        <v>24</v>
      </c>
      <c r="L219" s="8" t="s">
        <v>162</v>
      </c>
      <c r="M219" s="8"/>
      <c r="N219" s="8"/>
      <c r="O219" s="16">
        <f t="shared" si="53"/>
        <v>130.075</v>
      </c>
      <c r="P219" s="24">
        <f t="shared" si="64"/>
        <v>1987.4229999999998</v>
      </c>
      <c r="Q219" s="24"/>
      <c r="R219" s="26">
        <f t="shared" si="54"/>
        <v>1745.37</v>
      </c>
      <c r="S219" s="11"/>
      <c r="T219" s="11"/>
      <c r="U219" s="11"/>
      <c r="V219" s="11"/>
      <c r="W219" s="11"/>
      <c r="X219" s="11"/>
      <c r="Y219" s="11"/>
      <c r="Z219" s="24">
        <f t="shared" si="65"/>
        <v>0</v>
      </c>
      <c r="AA219" s="24">
        <f t="shared" si="55"/>
        <v>732.204</v>
      </c>
      <c r="AB219" s="24"/>
      <c r="AC219" s="24">
        <f t="shared" si="51"/>
        <v>278.124</v>
      </c>
      <c r="AD219" s="26">
        <f t="shared" si="56"/>
        <v>134.84</v>
      </c>
      <c r="AE219" s="8"/>
      <c r="AF219" s="8"/>
      <c r="AG219" s="26"/>
      <c r="AH219" s="24">
        <f t="shared" si="57"/>
        <v>669.7679999999999</v>
      </c>
      <c r="AI219" s="24"/>
      <c r="AJ219" s="24">
        <f t="shared" si="66"/>
        <v>5547.728999999999</v>
      </c>
    </row>
    <row r="220" spans="1:36" ht="15.75">
      <c r="A220" s="3" t="s">
        <v>135</v>
      </c>
      <c r="B220" s="4" t="s">
        <v>1</v>
      </c>
      <c r="C220" s="3" t="s">
        <v>2</v>
      </c>
      <c r="D220" s="18">
        <v>2766.2</v>
      </c>
      <c r="E220" s="11">
        <f t="shared" si="58"/>
        <v>11949.983999999999</v>
      </c>
      <c r="F220" s="11">
        <f t="shared" si="59"/>
        <v>39501.335999999996</v>
      </c>
      <c r="G220" s="11">
        <f t="shared" si="60"/>
        <v>39169.39199999999</v>
      </c>
      <c r="H220" s="11">
        <f t="shared" si="61"/>
        <v>8630.544</v>
      </c>
      <c r="I220" s="11">
        <f t="shared" si="62"/>
        <v>1991.6639999999998</v>
      </c>
      <c r="J220" s="11">
        <f t="shared" si="63"/>
        <v>5974.991999999999</v>
      </c>
      <c r="K220" s="11">
        <f>60*8+60*6*2</f>
        <v>1200</v>
      </c>
      <c r="L220" s="8">
        <f>144.73*3</f>
        <v>434.18999999999994</v>
      </c>
      <c r="M220" s="8"/>
      <c r="N220" s="8"/>
      <c r="O220" s="16">
        <f t="shared" si="53"/>
        <v>7607.05</v>
      </c>
      <c r="P220" s="24">
        <f t="shared" si="64"/>
        <v>116459.15199999999</v>
      </c>
      <c r="Q220" s="24">
        <f>D220*1.27*5+D220*1.34*7</f>
        <v>43512.326</v>
      </c>
      <c r="R220" s="26">
        <f t="shared" si="54"/>
        <v>102072.78</v>
      </c>
      <c r="S220" s="11">
        <v>28230</v>
      </c>
      <c r="T220" s="11">
        <v>16650</v>
      </c>
      <c r="U220" s="11">
        <v>25979</v>
      </c>
      <c r="V220" s="11"/>
      <c r="W220" s="11"/>
      <c r="X220" s="11"/>
      <c r="Y220" s="11"/>
      <c r="Z220" s="24">
        <f t="shared" si="65"/>
        <v>70859</v>
      </c>
      <c r="AA220" s="24">
        <f t="shared" si="55"/>
        <v>42820.776</v>
      </c>
      <c r="AB220" s="24"/>
      <c r="AC220" s="24">
        <f t="shared" si="51"/>
        <v>16265.255999999998</v>
      </c>
      <c r="AD220" s="26">
        <f t="shared" si="56"/>
        <v>7747.76</v>
      </c>
      <c r="AE220" s="8"/>
      <c r="AF220" s="8"/>
      <c r="AG220" s="26"/>
      <c r="AH220" s="24">
        <f t="shared" si="57"/>
        <v>39169.39199999999</v>
      </c>
      <c r="AI220" s="24"/>
      <c r="AJ220" s="24">
        <f t="shared" si="66"/>
        <v>438906.44200000004</v>
      </c>
    </row>
    <row r="221" spans="1:36" ht="15.75">
      <c r="A221" s="3" t="s">
        <v>135</v>
      </c>
      <c r="B221" s="4" t="s">
        <v>70</v>
      </c>
      <c r="C221" s="3" t="s">
        <v>2</v>
      </c>
      <c r="D221" s="18">
        <v>5812.5</v>
      </c>
      <c r="E221" s="11">
        <f t="shared" si="58"/>
        <v>25110</v>
      </c>
      <c r="F221" s="11">
        <f t="shared" si="59"/>
        <v>83002.5</v>
      </c>
      <c r="G221" s="11">
        <f t="shared" si="60"/>
        <v>82305</v>
      </c>
      <c r="H221" s="11">
        <f t="shared" si="61"/>
        <v>18135</v>
      </c>
      <c r="I221" s="11">
        <f t="shared" si="62"/>
        <v>4185</v>
      </c>
      <c r="J221" s="11">
        <f t="shared" si="63"/>
        <v>12555</v>
      </c>
      <c r="K221" s="11">
        <f>119*8+119*6*2</f>
        <v>2380</v>
      </c>
      <c r="L221" s="8">
        <f>144.73*137</f>
        <v>19828.01</v>
      </c>
      <c r="M221" s="8"/>
      <c r="N221" s="8"/>
      <c r="O221" s="16">
        <f t="shared" si="53"/>
        <v>15984.375000000002</v>
      </c>
      <c r="P221" s="24">
        <f t="shared" si="64"/>
        <v>263484.885</v>
      </c>
      <c r="Q221" s="24">
        <f>D221*1.27*5+D221*1.34*7</f>
        <v>91430.625</v>
      </c>
      <c r="R221" s="26">
        <f t="shared" si="54"/>
        <v>214481.25</v>
      </c>
      <c r="S221" s="11">
        <v>124860</v>
      </c>
      <c r="T221" s="11">
        <v>116370.01</v>
      </c>
      <c r="U221" s="11"/>
      <c r="V221" s="11"/>
      <c r="W221" s="11"/>
      <c r="X221" s="11"/>
      <c r="Y221" s="11"/>
      <c r="Z221" s="24">
        <f t="shared" si="65"/>
        <v>241230.01</v>
      </c>
      <c r="AA221" s="24">
        <f t="shared" si="55"/>
        <v>89977.5</v>
      </c>
      <c r="AB221" s="24"/>
      <c r="AC221" s="24">
        <f t="shared" si="51"/>
        <v>34177.5</v>
      </c>
      <c r="AD221" s="26">
        <f t="shared" si="56"/>
        <v>16277.4</v>
      </c>
      <c r="AE221" s="8"/>
      <c r="AF221" s="8"/>
      <c r="AG221" s="26"/>
      <c r="AH221" s="24">
        <f t="shared" si="57"/>
        <v>82305</v>
      </c>
      <c r="AI221" s="24"/>
      <c r="AJ221" s="24">
        <f t="shared" si="66"/>
        <v>1033364.17</v>
      </c>
    </row>
    <row r="222" spans="1:36" ht="15.75">
      <c r="A222" s="3" t="s">
        <v>135</v>
      </c>
      <c r="B222" s="4" t="s">
        <v>71</v>
      </c>
      <c r="C222" s="3" t="s">
        <v>2</v>
      </c>
      <c r="D222" s="18">
        <v>2717.5</v>
      </c>
      <c r="E222" s="11">
        <f t="shared" si="58"/>
        <v>11739.599999999999</v>
      </c>
      <c r="F222" s="11">
        <f t="shared" si="59"/>
        <v>38805.899999999994</v>
      </c>
      <c r="G222" s="11">
        <f t="shared" si="60"/>
        <v>38479.799999999996</v>
      </c>
      <c r="H222" s="11">
        <f t="shared" si="61"/>
        <v>8478.6</v>
      </c>
      <c r="I222" s="11">
        <f t="shared" si="62"/>
        <v>1956.6</v>
      </c>
      <c r="J222" s="11">
        <f t="shared" si="63"/>
        <v>5869.799999999999</v>
      </c>
      <c r="K222" s="11">
        <f>60*8+60*6*2</f>
        <v>1200</v>
      </c>
      <c r="L222" s="8">
        <f>144.73*3</f>
        <v>434.18999999999994</v>
      </c>
      <c r="M222" s="8"/>
      <c r="N222" s="8"/>
      <c r="O222" s="16">
        <f t="shared" si="53"/>
        <v>7473.125000000001</v>
      </c>
      <c r="P222" s="24">
        <f t="shared" si="64"/>
        <v>114437.615</v>
      </c>
      <c r="Q222" s="24">
        <f>D222*1.27*5+D222*1.34*7</f>
        <v>42746.275</v>
      </c>
      <c r="R222" s="26">
        <f t="shared" si="54"/>
        <v>100275.75</v>
      </c>
      <c r="S222" s="11">
        <v>13270</v>
      </c>
      <c r="T222" s="11">
        <v>9390</v>
      </c>
      <c r="U222" s="11"/>
      <c r="V222" s="11"/>
      <c r="W222" s="11"/>
      <c r="X222" s="11"/>
      <c r="Y222" s="11"/>
      <c r="Z222" s="24">
        <f t="shared" si="65"/>
        <v>22660</v>
      </c>
      <c r="AA222" s="24">
        <f t="shared" si="55"/>
        <v>42066.9</v>
      </c>
      <c r="AB222" s="24"/>
      <c r="AC222" s="24">
        <f t="shared" si="51"/>
        <v>15978.900000000001</v>
      </c>
      <c r="AD222" s="26">
        <f t="shared" si="56"/>
        <v>7611.4</v>
      </c>
      <c r="AE222" s="8"/>
      <c r="AF222" s="8"/>
      <c r="AG222" s="26"/>
      <c r="AH222" s="24">
        <f t="shared" si="57"/>
        <v>38479.799999999996</v>
      </c>
      <c r="AI222" s="24"/>
      <c r="AJ222" s="24">
        <f t="shared" si="66"/>
        <v>384256.6400000001</v>
      </c>
    </row>
    <row r="223" spans="1:36" ht="15.75">
      <c r="A223" s="3" t="s">
        <v>135</v>
      </c>
      <c r="B223" s="4" t="s">
        <v>64</v>
      </c>
      <c r="C223" s="3" t="s">
        <v>2</v>
      </c>
      <c r="D223" s="18">
        <v>5704</v>
      </c>
      <c r="E223" s="11">
        <f t="shared" si="58"/>
        <v>24641.28</v>
      </c>
      <c r="F223" s="11">
        <f t="shared" si="59"/>
        <v>81453.12</v>
      </c>
      <c r="G223" s="11">
        <f t="shared" si="60"/>
        <v>80768.63999999998</v>
      </c>
      <c r="H223" s="11">
        <f t="shared" si="61"/>
        <v>17796.48</v>
      </c>
      <c r="I223" s="11">
        <f t="shared" si="62"/>
        <v>4106.88</v>
      </c>
      <c r="J223" s="11">
        <f t="shared" si="63"/>
        <v>12320.64</v>
      </c>
      <c r="K223" s="11">
        <f>118*8+118*6*2</f>
        <v>2360</v>
      </c>
      <c r="L223" s="8">
        <f>144.73*3</f>
        <v>434.18999999999994</v>
      </c>
      <c r="M223" s="8"/>
      <c r="N223" s="8"/>
      <c r="O223" s="16">
        <f t="shared" si="53"/>
        <v>15686.000000000002</v>
      </c>
      <c r="P223" s="24">
        <f t="shared" si="64"/>
        <v>239567.22999999998</v>
      </c>
      <c r="Q223" s="24">
        <f>D223*1.27*5+D223*1.34*7</f>
        <v>89723.92000000001</v>
      </c>
      <c r="R223" s="26">
        <f t="shared" si="54"/>
        <v>210477.6</v>
      </c>
      <c r="S223" s="11">
        <v>50000</v>
      </c>
      <c r="T223" s="11">
        <v>9000</v>
      </c>
      <c r="U223" s="11"/>
      <c r="V223" s="11"/>
      <c r="W223" s="11">
        <f>4.4*220</f>
        <v>968.0000000000001</v>
      </c>
      <c r="X223" s="11"/>
      <c r="Y223" s="11"/>
      <c r="Z223" s="24">
        <f t="shared" si="65"/>
        <v>59968</v>
      </c>
      <c r="AA223" s="24">
        <f t="shared" si="55"/>
        <v>88297.92</v>
      </c>
      <c r="AB223" s="24"/>
      <c r="AC223" s="24">
        <f aca="true" t="shared" si="67" ref="AC223:AC255">D223*0.49*12</f>
        <v>33539.520000000004</v>
      </c>
      <c r="AD223" s="26">
        <f t="shared" si="56"/>
        <v>15973.599999999999</v>
      </c>
      <c r="AE223" s="8"/>
      <c r="AF223" s="8"/>
      <c r="AG223" s="26"/>
      <c r="AH223" s="24">
        <f t="shared" si="57"/>
        <v>80768.63999999998</v>
      </c>
      <c r="AI223" s="24">
        <v>57500</v>
      </c>
      <c r="AJ223" s="24">
        <f t="shared" si="66"/>
        <v>875816.43</v>
      </c>
    </row>
    <row r="224" spans="1:36" ht="15.75">
      <c r="A224" s="3" t="s">
        <v>135</v>
      </c>
      <c r="B224" s="4" t="s">
        <v>128</v>
      </c>
      <c r="C224" s="3" t="s">
        <v>2</v>
      </c>
      <c r="D224" s="18">
        <v>3447.4</v>
      </c>
      <c r="E224" s="11">
        <f t="shared" si="58"/>
        <v>14892.768</v>
      </c>
      <c r="F224" s="11">
        <f t="shared" si="59"/>
        <v>49228.872</v>
      </c>
      <c r="G224" s="11">
        <f t="shared" si="60"/>
        <v>48815.183999999994</v>
      </c>
      <c r="H224" s="11">
        <f t="shared" si="61"/>
        <v>10755.888</v>
      </c>
      <c r="I224" s="11">
        <f t="shared" si="62"/>
        <v>2482.1279999999997</v>
      </c>
      <c r="J224" s="11">
        <f t="shared" si="63"/>
        <v>7446.384</v>
      </c>
      <c r="K224" s="11">
        <f>75*6*2</f>
        <v>900</v>
      </c>
      <c r="L224" s="8">
        <f>144.73*3</f>
        <v>434.18999999999994</v>
      </c>
      <c r="M224" s="8"/>
      <c r="N224" s="8"/>
      <c r="O224" s="16">
        <f t="shared" si="53"/>
        <v>9480.35</v>
      </c>
      <c r="P224" s="24">
        <f t="shared" si="64"/>
        <v>144435.764</v>
      </c>
      <c r="Q224" s="24">
        <f>D224*1.27*5+D224*1.34*7</f>
        <v>54227.602000000006</v>
      </c>
      <c r="R224" s="26">
        <f t="shared" si="54"/>
        <v>127209.06000000001</v>
      </c>
      <c r="S224" s="11">
        <v>22452</v>
      </c>
      <c r="T224" s="11">
        <v>131700</v>
      </c>
      <c r="U224" s="11"/>
      <c r="V224" s="11"/>
      <c r="W224" s="11"/>
      <c r="X224" s="11"/>
      <c r="Y224" s="11"/>
      <c r="Z224" s="24">
        <f t="shared" si="65"/>
        <v>154152</v>
      </c>
      <c r="AA224" s="24">
        <f t="shared" si="55"/>
        <v>53365.75200000001</v>
      </c>
      <c r="AB224" s="24"/>
      <c r="AC224" s="24">
        <f t="shared" si="67"/>
        <v>20270.712</v>
      </c>
      <c r="AD224" s="26">
        <f t="shared" si="56"/>
        <v>9655.12</v>
      </c>
      <c r="AE224" s="8"/>
      <c r="AF224" s="8"/>
      <c r="AG224" s="26"/>
      <c r="AH224" s="24">
        <f t="shared" si="57"/>
        <v>48815.183999999994</v>
      </c>
      <c r="AI224" s="24"/>
      <c r="AJ224" s="24">
        <f t="shared" si="66"/>
        <v>612131.1940000001</v>
      </c>
    </row>
    <row r="225" spans="1:36" ht="15.75">
      <c r="A225" s="5" t="s">
        <v>136</v>
      </c>
      <c r="B225" s="5" t="s">
        <v>68</v>
      </c>
      <c r="C225" s="6" t="s">
        <v>2</v>
      </c>
      <c r="D225" s="21">
        <v>770.4</v>
      </c>
      <c r="E225" s="11">
        <f t="shared" si="58"/>
        <v>3328.1279999999997</v>
      </c>
      <c r="F225" s="11">
        <f t="shared" si="59"/>
        <v>11001.312</v>
      </c>
      <c r="G225" s="11">
        <f t="shared" si="60"/>
        <v>10908.863999999998</v>
      </c>
      <c r="H225" s="11">
        <f t="shared" si="61"/>
        <v>2403.648</v>
      </c>
      <c r="I225" s="11">
        <f t="shared" si="62"/>
        <v>554.688</v>
      </c>
      <c r="J225" s="11">
        <f t="shared" si="63"/>
        <v>1664.0639999999999</v>
      </c>
      <c r="K225" s="11">
        <f>4*6*2</f>
        <v>48</v>
      </c>
      <c r="L225" s="8"/>
      <c r="M225" s="8"/>
      <c r="N225" s="8"/>
      <c r="O225" s="16">
        <f t="shared" si="53"/>
        <v>2118.6000000000004</v>
      </c>
      <c r="P225" s="24">
        <f t="shared" si="64"/>
        <v>32027.303999999996</v>
      </c>
      <c r="Q225" s="24"/>
      <c r="R225" s="26">
        <f t="shared" si="54"/>
        <v>28427.759999999995</v>
      </c>
      <c r="S225" s="11"/>
      <c r="T225" s="11"/>
      <c r="U225" s="11"/>
      <c r="V225" s="11"/>
      <c r="W225" s="11"/>
      <c r="X225" s="11"/>
      <c r="Y225" s="11"/>
      <c r="Z225" s="24">
        <f t="shared" si="65"/>
        <v>0</v>
      </c>
      <c r="AA225" s="24">
        <f t="shared" si="55"/>
        <v>11925.792000000001</v>
      </c>
      <c r="AB225" s="24"/>
      <c r="AC225" s="24">
        <f t="shared" si="67"/>
        <v>4529.951999999999</v>
      </c>
      <c r="AD225" s="26">
        <f t="shared" si="56"/>
        <v>2159.5200000000004</v>
      </c>
      <c r="AE225" s="8"/>
      <c r="AF225" s="8"/>
      <c r="AG225" s="26"/>
      <c r="AH225" s="24">
        <f t="shared" si="57"/>
        <v>10908.863999999998</v>
      </c>
      <c r="AI225" s="24">
        <v>57500</v>
      </c>
      <c r="AJ225" s="24">
        <f t="shared" si="66"/>
        <v>147479.192</v>
      </c>
    </row>
    <row r="226" spans="1:36" ht="15.75">
      <c r="A226" s="3" t="s">
        <v>136</v>
      </c>
      <c r="B226" s="4" t="s">
        <v>37</v>
      </c>
      <c r="C226" s="3" t="s">
        <v>2</v>
      </c>
      <c r="D226" s="18">
        <v>3239.9</v>
      </c>
      <c r="E226" s="11">
        <f t="shared" si="58"/>
        <v>13996.368</v>
      </c>
      <c r="F226" s="11">
        <f t="shared" si="59"/>
        <v>46265.772</v>
      </c>
      <c r="G226" s="11">
        <f t="shared" si="60"/>
        <v>45876.984</v>
      </c>
      <c r="H226" s="11">
        <f t="shared" si="61"/>
        <v>10108.488000000001</v>
      </c>
      <c r="I226" s="11">
        <f t="shared" si="62"/>
        <v>2332.728</v>
      </c>
      <c r="J226" s="11">
        <f t="shared" si="63"/>
        <v>6998.184</v>
      </c>
      <c r="K226" s="11">
        <f>60*6*2</f>
        <v>720</v>
      </c>
      <c r="L226" s="8">
        <f>144.73*3</f>
        <v>434.18999999999994</v>
      </c>
      <c r="M226" s="8"/>
      <c r="N226" s="8"/>
      <c r="O226" s="16">
        <f t="shared" si="53"/>
        <v>8909.725</v>
      </c>
      <c r="P226" s="24">
        <f t="shared" si="64"/>
        <v>135642.43899999998</v>
      </c>
      <c r="Q226" s="24">
        <f>D226*1.27*5+D226*1.34*7</f>
        <v>50963.627</v>
      </c>
      <c r="R226" s="26">
        <f t="shared" si="54"/>
        <v>119552.31000000001</v>
      </c>
      <c r="S226" s="11">
        <v>10970</v>
      </c>
      <c r="T226" s="11">
        <v>19500</v>
      </c>
      <c r="U226" s="11"/>
      <c r="V226" s="11"/>
      <c r="W226" s="11"/>
      <c r="X226" s="11"/>
      <c r="Y226" s="11"/>
      <c r="Z226" s="24">
        <f t="shared" si="65"/>
        <v>30470</v>
      </c>
      <c r="AA226" s="24">
        <f t="shared" si="55"/>
        <v>50153.652</v>
      </c>
      <c r="AB226" s="24"/>
      <c r="AC226" s="24">
        <f t="shared" si="67"/>
        <v>19050.612</v>
      </c>
      <c r="AD226" s="26">
        <f t="shared" si="56"/>
        <v>9074.12</v>
      </c>
      <c r="AE226" s="8"/>
      <c r="AF226" s="8"/>
      <c r="AG226" s="26"/>
      <c r="AH226" s="24">
        <f t="shared" si="57"/>
        <v>45876.984</v>
      </c>
      <c r="AI226" s="24">
        <v>57500</v>
      </c>
      <c r="AJ226" s="24">
        <f t="shared" si="66"/>
        <v>518283.744</v>
      </c>
    </row>
    <row r="227" spans="1:36" ht="15.75">
      <c r="A227" s="5" t="s">
        <v>136</v>
      </c>
      <c r="B227" s="5" t="s">
        <v>80</v>
      </c>
      <c r="C227" s="6" t="s">
        <v>2</v>
      </c>
      <c r="D227" s="19">
        <v>117.5</v>
      </c>
      <c r="E227" s="11">
        <f t="shared" si="58"/>
        <v>507.59999999999997</v>
      </c>
      <c r="F227" s="11">
        <f t="shared" si="59"/>
        <v>1677.8999999999999</v>
      </c>
      <c r="G227" s="11">
        <f t="shared" si="60"/>
        <v>1663.8000000000002</v>
      </c>
      <c r="H227" s="11">
        <f t="shared" si="61"/>
        <v>366.6</v>
      </c>
      <c r="I227" s="11">
        <f t="shared" si="62"/>
        <v>84.6</v>
      </c>
      <c r="J227" s="11">
        <f t="shared" si="63"/>
        <v>253.79999999999998</v>
      </c>
      <c r="K227" s="11">
        <f>2*230</f>
        <v>460</v>
      </c>
      <c r="L227" s="8"/>
      <c r="M227" s="8"/>
      <c r="N227" s="8"/>
      <c r="O227" s="16">
        <f t="shared" si="53"/>
        <v>323.125</v>
      </c>
      <c r="P227" s="24">
        <f t="shared" si="64"/>
        <v>5337.425000000001</v>
      </c>
      <c r="Q227" s="24"/>
      <c r="R227" s="26">
        <f t="shared" si="54"/>
        <v>4335.75</v>
      </c>
      <c r="S227" s="11"/>
      <c r="T227" s="11"/>
      <c r="U227" s="11"/>
      <c r="V227" s="11"/>
      <c r="W227" s="11"/>
      <c r="X227" s="11"/>
      <c r="Y227" s="11"/>
      <c r="Z227" s="24">
        <f t="shared" si="65"/>
        <v>0</v>
      </c>
      <c r="AA227" s="24">
        <f t="shared" si="55"/>
        <v>1818.9</v>
      </c>
      <c r="AB227" s="24"/>
      <c r="AC227" s="24">
        <f t="shared" si="67"/>
        <v>690.9</v>
      </c>
      <c r="AD227" s="26">
        <f t="shared" si="56"/>
        <v>331.4</v>
      </c>
      <c r="AE227" s="8"/>
      <c r="AF227" s="8"/>
      <c r="AG227" s="26"/>
      <c r="AH227" s="24">
        <f t="shared" si="57"/>
        <v>1663.8000000000002</v>
      </c>
      <c r="AI227" s="24"/>
      <c r="AJ227" s="24">
        <f t="shared" si="66"/>
        <v>14178.175</v>
      </c>
    </row>
    <row r="228" spans="1:36" ht="15.75">
      <c r="A228" s="3" t="s">
        <v>136</v>
      </c>
      <c r="B228" s="4" t="s">
        <v>66</v>
      </c>
      <c r="C228" s="3" t="s">
        <v>2</v>
      </c>
      <c r="D228" s="18">
        <v>646.6</v>
      </c>
      <c r="E228" s="11">
        <f t="shared" si="58"/>
        <v>2793.312</v>
      </c>
      <c r="F228" s="11">
        <f t="shared" si="59"/>
        <v>9233.448</v>
      </c>
      <c r="G228" s="11">
        <f t="shared" si="60"/>
        <v>9155.856</v>
      </c>
      <c r="H228" s="11">
        <f t="shared" si="61"/>
        <v>2017.3920000000003</v>
      </c>
      <c r="I228" s="11">
        <f t="shared" si="62"/>
        <v>465.552</v>
      </c>
      <c r="J228" s="11">
        <f t="shared" si="63"/>
        <v>1396.656</v>
      </c>
      <c r="K228" s="11">
        <f>16*6*2</f>
        <v>192</v>
      </c>
      <c r="L228" s="8"/>
      <c r="M228" s="8"/>
      <c r="N228" s="8"/>
      <c r="O228" s="16">
        <f t="shared" si="53"/>
        <v>1778.1500000000003</v>
      </c>
      <c r="P228" s="24">
        <f t="shared" si="64"/>
        <v>27032.366</v>
      </c>
      <c r="Q228" s="24"/>
      <c r="R228" s="26">
        <f t="shared" si="54"/>
        <v>23859.54</v>
      </c>
      <c r="S228" s="11"/>
      <c r="T228" s="11"/>
      <c r="U228" s="11"/>
      <c r="V228" s="11"/>
      <c r="W228" s="11"/>
      <c r="X228" s="11"/>
      <c r="Y228" s="11">
        <v>46500</v>
      </c>
      <c r="Z228" s="24">
        <f>SUM(S228:Y228)</f>
        <v>46500</v>
      </c>
      <c r="AA228" s="24">
        <f t="shared" si="55"/>
        <v>10009.368</v>
      </c>
      <c r="AB228" s="24"/>
      <c r="AC228" s="24">
        <f t="shared" si="67"/>
        <v>3802.008</v>
      </c>
      <c r="AD228" s="26">
        <f t="shared" si="56"/>
        <v>1812.8800000000003</v>
      </c>
      <c r="AE228" s="8"/>
      <c r="AF228" s="8"/>
      <c r="AG228" s="26"/>
      <c r="AH228" s="24">
        <f t="shared" si="57"/>
        <v>9155.856</v>
      </c>
      <c r="AI228" s="24">
        <v>57500</v>
      </c>
      <c r="AJ228" s="24">
        <f t="shared" si="66"/>
        <v>179672.018</v>
      </c>
    </row>
    <row r="229" spans="1:36" ht="15.75">
      <c r="A229" s="3" t="s">
        <v>137</v>
      </c>
      <c r="B229" s="4" t="s">
        <v>69</v>
      </c>
      <c r="C229" s="3" t="s">
        <v>65</v>
      </c>
      <c r="D229" s="18">
        <v>17755</v>
      </c>
      <c r="E229" s="11">
        <f t="shared" si="58"/>
        <v>76701.6</v>
      </c>
      <c r="F229" s="11">
        <f t="shared" si="59"/>
        <v>253541.40000000002</v>
      </c>
      <c r="G229" s="11">
        <f t="shared" si="60"/>
        <v>251410.8</v>
      </c>
      <c r="H229" s="11">
        <f t="shared" si="61"/>
        <v>55395.600000000006</v>
      </c>
      <c r="I229" s="11">
        <f t="shared" si="62"/>
        <v>12783.599999999999</v>
      </c>
      <c r="J229" s="11">
        <f t="shared" si="63"/>
        <v>38350.8</v>
      </c>
      <c r="K229" s="11">
        <f>358*6*2</f>
        <v>4296</v>
      </c>
      <c r="L229" s="8">
        <f>144.73*2</f>
        <v>289.46</v>
      </c>
      <c r="M229" s="8">
        <f>10*142.42*1.5</f>
        <v>2136.2999999999997</v>
      </c>
      <c r="N229" s="8"/>
      <c r="O229" s="16">
        <f t="shared" si="53"/>
        <v>48826.25</v>
      </c>
      <c r="P229" s="24">
        <f t="shared" si="64"/>
        <v>743731.81</v>
      </c>
      <c r="Q229" s="24">
        <f aca="true" t="shared" si="68" ref="Q229:Q241">D229*1.27*5+D229*1.34*7</f>
        <v>279286.15</v>
      </c>
      <c r="R229" s="26">
        <f t="shared" si="54"/>
        <v>655159.5</v>
      </c>
      <c r="S229" s="11"/>
      <c r="T229" s="11"/>
      <c r="U229" s="11"/>
      <c r="V229" s="11"/>
      <c r="W229" s="11"/>
      <c r="X229" s="11"/>
      <c r="Y229" s="11"/>
      <c r="Z229" s="24">
        <f t="shared" si="65"/>
        <v>0</v>
      </c>
      <c r="AA229" s="24">
        <f t="shared" si="55"/>
        <v>274847.4</v>
      </c>
      <c r="AB229" s="24">
        <f>D229*1.01*5+0.96*D229*7</f>
        <v>208976.34999999998</v>
      </c>
      <c r="AC229" s="24">
        <f t="shared" si="67"/>
        <v>104399.40000000001</v>
      </c>
      <c r="AD229" s="26">
        <f t="shared" si="56"/>
        <v>49716.4</v>
      </c>
      <c r="AE229" s="8">
        <v>301040.89</v>
      </c>
      <c r="AF229" s="11">
        <v>17379.4</v>
      </c>
      <c r="AG229" s="26">
        <f>SUM(AE229:AF229)</f>
        <v>318420.29000000004</v>
      </c>
      <c r="AH229" s="24">
        <f t="shared" si="57"/>
        <v>251410.8</v>
      </c>
      <c r="AI229" s="24"/>
      <c r="AJ229" s="24">
        <f t="shared" si="66"/>
        <v>2885948.0999999996</v>
      </c>
    </row>
    <row r="230" spans="1:36" ht="15.75">
      <c r="A230" s="3" t="s">
        <v>137</v>
      </c>
      <c r="B230" s="4" t="s">
        <v>69</v>
      </c>
      <c r="C230" s="3" t="s">
        <v>110</v>
      </c>
      <c r="D230" s="18">
        <v>2140.7</v>
      </c>
      <c r="E230" s="11">
        <f t="shared" si="58"/>
        <v>9247.823999999999</v>
      </c>
      <c r="F230" s="11">
        <f t="shared" si="59"/>
        <v>30569.195999999996</v>
      </c>
      <c r="G230" s="11">
        <f t="shared" si="60"/>
        <v>30312.311999999998</v>
      </c>
      <c r="H230" s="11">
        <f t="shared" si="61"/>
        <v>6678.984</v>
      </c>
      <c r="I230" s="11">
        <f t="shared" si="62"/>
        <v>1541.3039999999996</v>
      </c>
      <c r="J230" s="11">
        <f t="shared" si="63"/>
        <v>4623.911999999999</v>
      </c>
      <c r="K230" s="11">
        <f>72*6</f>
        <v>432</v>
      </c>
      <c r="L230" s="8">
        <f>144.73*42</f>
        <v>6078.66</v>
      </c>
      <c r="M230" s="8">
        <f>1*142.42*1.5</f>
        <v>213.63</v>
      </c>
      <c r="N230" s="8"/>
      <c r="O230" s="16">
        <f t="shared" si="53"/>
        <v>5886.925</v>
      </c>
      <c r="P230" s="24">
        <f t="shared" si="64"/>
        <v>95584.747</v>
      </c>
      <c r="Q230" s="24">
        <f t="shared" si="68"/>
        <v>33673.210999999996</v>
      </c>
      <c r="R230" s="26">
        <f t="shared" si="54"/>
        <v>78991.82999999999</v>
      </c>
      <c r="S230" s="11">
        <v>10000</v>
      </c>
      <c r="T230" s="11">
        <v>21900</v>
      </c>
      <c r="U230" s="11"/>
      <c r="V230" s="11"/>
      <c r="W230" s="11"/>
      <c r="X230" s="11"/>
      <c r="Y230" s="11"/>
      <c r="Z230" s="24">
        <f t="shared" si="65"/>
        <v>31900</v>
      </c>
      <c r="AA230" s="24">
        <f t="shared" si="55"/>
        <v>33138.03599999999</v>
      </c>
      <c r="AB230" s="24"/>
      <c r="AC230" s="24">
        <f t="shared" si="67"/>
        <v>12587.315999999999</v>
      </c>
      <c r="AD230" s="26">
        <f t="shared" si="56"/>
        <v>5996.36</v>
      </c>
      <c r="AE230" s="8">
        <v>30104.09</v>
      </c>
      <c r="AF230" s="8">
        <v>1737.94</v>
      </c>
      <c r="AG230" s="26">
        <f>SUM(AE230:AF230)</f>
        <v>31842.03</v>
      </c>
      <c r="AH230" s="24">
        <f t="shared" si="57"/>
        <v>30312.311999999998</v>
      </c>
      <c r="AI230" s="24"/>
      <c r="AJ230" s="24">
        <f t="shared" si="66"/>
        <v>354025.842</v>
      </c>
    </row>
    <row r="231" spans="1:36" ht="15.75">
      <c r="A231" s="3" t="s">
        <v>137</v>
      </c>
      <c r="B231" s="4" t="s">
        <v>35</v>
      </c>
      <c r="C231" s="3" t="s">
        <v>2</v>
      </c>
      <c r="D231" s="18">
        <v>9761.7</v>
      </c>
      <c r="E231" s="11">
        <f t="shared" si="58"/>
        <v>42170.544</v>
      </c>
      <c r="F231" s="11">
        <f t="shared" si="59"/>
        <v>139397.076</v>
      </c>
      <c r="G231" s="11">
        <f t="shared" si="60"/>
        <v>138225.67200000002</v>
      </c>
      <c r="H231" s="11">
        <f t="shared" si="61"/>
        <v>30456.504000000004</v>
      </c>
      <c r="I231" s="11">
        <f t="shared" si="62"/>
        <v>7028.424</v>
      </c>
      <c r="J231" s="11">
        <f t="shared" si="63"/>
        <v>21085.272</v>
      </c>
      <c r="K231" s="11">
        <f>152*6*2</f>
        <v>1824</v>
      </c>
      <c r="L231" s="8">
        <f>144.73*2</f>
        <v>289.46</v>
      </c>
      <c r="M231" s="8">
        <f>5*142.42*1.5</f>
        <v>1068.1499999999999</v>
      </c>
      <c r="N231" s="8"/>
      <c r="O231" s="16">
        <f t="shared" si="53"/>
        <v>26844.675000000003</v>
      </c>
      <c r="P231" s="24">
        <f t="shared" si="64"/>
        <v>408389.77700000006</v>
      </c>
      <c r="Q231" s="24">
        <f t="shared" si="68"/>
        <v>153551.54100000003</v>
      </c>
      <c r="R231" s="26">
        <f t="shared" si="54"/>
        <v>360206.73000000004</v>
      </c>
      <c r="S231" s="11">
        <v>135840</v>
      </c>
      <c r="T231" s="11"/>
      <c r="U231" s="11">
        <v>9911</v>
      </c>
      <c r="V231" s="11"/>
      <c r="W231" s="11"/>
      <c r="X231" s="11">
        <v>62500</v>
      </c>
      <c r="Y231" s="11"/>
      <c r="Z231" s="24">
        <f t="shared" si="65"/>
        <v>208251</v>
      </c>
      <c r="AA231" s="24">
        <f t="shared" si="55"/>
        <v>151111.116</v>
      </c>
      <c r="AB231" s="24"/>
      <c r="AC231" s="24">
        <f t="shared" si="67"/>
        <v>57398.796</v>
      </c>
      <c r="AD231" s="26">
        <f t="shared" si="56"/>
        <v>27335.160000000003</v>
      </c>
      <c r="AE231" s="8">
        <v>150520.45</v>
      </c>
      <c r="AF231" s="8">
        <v>8689.7</v>
      </c>
      <c r="AG231" s="26">
        <f>SUM(AE231:AF231)</f>
        <v>159210.15000000002</v>
      </c>
      <c r="AH231" s="24">
        <f t="shared" si="57"/>
        <v>138225.67200000002</v>
      </c>
      <c r="AI231" s="24"/>
      <c r="AJ231" s="24">
        <f t="shared" si="66"/>
        <v>1663679.942</v>
      </c>
    </row>
    <row r="232" spans="1:36" ht="15.75">
      <c r="A232" s="3" t="s">
        <v>137</v>
      </c>
      <c r="B232" s="4" t="s">
        <v>71</v>
      </c>
      <c r="C232" s="3" t="s">
        <v>65</v>
      </c>
      <c r="D232" s="18">
        <v>2978.7</v>
      </c>
      <c r="E232" s="11">
        <f t="shared" si="58"/>
        <v>12867.983999999999</v>
      </c>
      <c r="F232" s="11">
        <f t="shared" si="59"/>
        <v>42535.835999999996</v>
      </c>
      <c r="G232" s="11">
        <f t="shared" si="60"/>
        <v>42178.39199999999</v>
      </c>
      <c r="H232" s="11">
        <f t="shared" si="61"/>
        <v>9293.544</v>
      </c>
      <c r="I232" s="11">
        <f t="shared" si="62"/>
        <v>2144.6639999999998</v>
      </c>
      <c r="J232" s="11">
        <f t="shared" si="63"/>
        <v>6433.991999999999</v>
      </c>
      <c r="K232" s="11">
        <f>48*8*4+48*6*2</f>
        <v>2112</v>
      </c>
      <c r="L232" s="8">
        <f>144.73*3</f>
        <v>434.18999999999994</v>
      </c>
      <c r="M232" s="8"/>
      <c r="N232" s="8"/>
      <c r="O232" s="16">
        <f t="shared" si="53"/>
        <v>8191.425</v>
      </c>
      <c r="P232" s="24">
        <f t="shared" si="64"/>
        <v>126192.02699999999</v>
      </c>
      <c r="Q232" s="24">
        <f t="shared" si="68"/>
        <v>46854.951</v>
      </c>
      <c r="R232" s="26">
        <f t="shared" si="54"/>
        <v>109914.03</v>
      </c>
      <c r="S232" s="11"/>
      <c r="T232" s="11"/>
      <c r="U232" s="11"/>
      <c r="V232" s="11"/>
      <c r="W232" s="11"/>
      <c r="X232" s="11"/>
      <c r="Y232" s="11"/>
      <c r="Z232" s="24">
        <f t="shared" si="65"/>
        <v>0</v>
      </c>
      <c r="AA232" s="24">
        <f t="shared" si="55"/>
        <v>46110.276</v>
      </c>
      <c r="AB232" s="24"/>
      <c r="AC232" s="24">
        <f t="shared" si="67"/>
        <v>17514.755999999998</v>
      </c>
      <c r="AD232" s="26">
        <f t="shared" si="56"/>
        <v>8342.76</v>
      </c>
      <c r="AE232" s="8">
        <v>58341.75</v>
      </c>
      <c r="AF232" s="8">
        <v>3475.88</v>
      </c>
      <c r="AG232" s="26">
        <f>SUM(AE232:AF232)</f>
        <v>61817.63</v>
      </c>
      <c r="AH232" s="24">
        <f t="shared" si="57"/>
        <v>42178.39199999999</v>
      </c>
      <c r="AI232" s="24"/>
      <c r="AJ232" s="24">
        <f t="shared" si="66"/>
        <v>458924.82200000004</v>
      </c>
    </row>
    <row r="233" spans="1:36" ht="15.75">
      <c r="A233" s="3" t="s">
        <v>137</v>
      </c>
      <c r="B233" s="4" t="s">
        <v>71</v>
      </c>
      <c r="C233" s="3" t="s">
        <v>110</v>
      </c>
      <c r="D233" s="18">
        <v>4452.4</v>
      </c>
      <c r="E233" s="11">
        <f t="shared" si="58"/>
        <v>19234.368</v>
      </c>
      <c r="F233" s="11">
        <f t="shared" si="59"/>
        <v>63580.272</v>
      </c>
      <c r="G233" s="11">
        <f t="shared" si="60"/>
        <v>63045.984</v>
      </c>
      <c r="H233" s="11">
        <f t="shared" si="61"/>
        <v>13891.488000000001</v>
      </c>
      <c r="I233" s="11">
        <f t="shared" si="62"/>
        <v>3205.727999999999</v>
      </c>
      <c r="J233" s="11">
        <f t="shared" si="63"/>
        <v>9617.184</v>
      </c>
      <c r="K233" s="11">
        <f>90*8+90*6*0</f>
        <v>720</v>
      </c>
      <c r="L233" s="8">
        <f>144.73*3</f>
        <v>434.18999999999994</v>
      </c>
      <c r="M233" s="8"/>
      <c r="N233" s="8"/>
      <c r="O233" s="16">
        <f t="shared" si="53"/>
        <v>12244.1</v>
      </c>
      <c r="P233" s="24">
        <f t="shared" si="64"/>
        <v>185973.31400000004</v>
      </c>
      <c r="Q233" s="24">
        <f t="shared" si="68"/>
        <v>70036.252</v>
      </c>
      <c r="R233" s="26">
        <f t="shared" si="54"/>
        <v>164293.56</v>
      </c>
      <c r="S233" s="11">
        <v>12717</v>
      </c>
      <c r="T233" s="11">
        <v>36000</v>
      </c>
      <c r="U233" s="11"/>
      <c r="V233" s="11"/>
      <c r="W233" s="11">
        <f>2.2*220</f>
        <v>484.00000000000006</v>
      </c>
      <c r="X233" s="11"/>
      <c r="Y233" s="11"/>
      <c r="Z233" s="24">
        <f t="shared" si="65"/>
        <v>49201</v>
      </c>
      <c r="AA233" s="24">
        <f t="shared" si="55"/>
        <v>68923.152</v>
      </c>
      <c r="AB233" s="24"/>
      <c r="AC233" s="24">
        <f t="shared" si="67"/>
        <v>26180.112</v>
      </c>
      <c r="AD233" s="26">
        <f t="shared" si="56"/>
        <v>12469.12</v>
      </c>
      <c r="AE233" s="8"/>
      <c r="AF233" s="8"/>
      <c r="AG233" s="26"/>
      <c r="AH233" s="24">
        <f t="shared" si="57"/>
        <v>63045.984</v>
      </c>
      <c r="AI233" s="24"/>
      <c r="AJ233" s="24">
        <f t="shared" si="66"/>
        <v>640122.494</v>
      </c>
    </row>
    <row r="234" spans="1:36" ht="15.75">
      <c r="A234" s="3" t="s">
        <v>137</v>
      </c>
      <c r="B234" s="4" t="s">
        <v>71</v>
      </c>
      <c r="C234" s="3" t="s">
        <v>113</v>
      </c>
      <c r="D234" s="18">
        <v>4396.9</v>
      </c>
      <c r="E234" s="11">
        <f t="shared" si="58"/>
        <v>18994.607999999997</v>
      </c>
      <c r="F234" s="11">
        <f t="shared" si="59"/>
        <v>62787.731999999996</v>
      </c>
      <c r="G234" s="11">
        <f t="shared" si="60"/>
        <v>62260.10399999999</v>
      </c>
      <c r="H234" s="11">
        <f t="shared" si="61"/>
        <v>13718.328</v>
      </c>
      <c r="I234" s="11">
        <f t="shared" si="62"/>
        <v>3165.7679999999996</v>
      </c>
      <c r="J234" s="11">
        <f t="shared" si="63"/>
        <v>9497.303999999998</v>
      </c>
      <c r="K234" s="11">
        <f>90*8+90*6*2</f>
        <v>1800</v>
      </c>
      <c r="L234" s="8">
        <f>144.73*3</f>
        <v>434.18999999999994</v>
      </c>
      <c r="M234" s="8"/>
      <c r="N234" s="8"/>
      <c r="O234" s="16">
        <f t="shared" si="53"/>
        <v>12091.475</v>
      </c>
      <c r="P234" s="24">
        <f t="shared" si="64"/>
        <v>184749.50900000002</v>
      </c>
      <c r="Q234" s="24">
        <f t="shared" si="68"/>
        <v>69163.237</v>
      </c>
      <c r="R234" s="26">
        <f t="shared" si="54"/>
        <v>162245.61</v>
      </c>
      <c r="S234" s="11"/>
      <c r="T234" s="11"/>
      <c r="U234" s="11"/>
      <c r="V234" s="11"/>
      <c r="W234" s="11"/>
      <c r="X234" s="11"/>
      <c r="Y234" s="11"/>
      <c r="Z234" s="24">
        <f t="shared" si="65"/>
        <v>0</v>
      </c>
      <c r="AA234" s="24">
        <f t="shared" si="55"/>
        <v>68064.01199999999</v>
      </c>
      <c r="AB234" s="24"/>
      <c r="AC234" s="24">
        <f t="shared" si="67"/>
        <v>25853.771999999997</v>
      </c>
      <c r="AD234" s="26">
        <f t="shared" si="56"/>
        <v>12313.72</v>
      </c>
      <c r="AE234" s="8"/>
      <c r="AF234" s="8"/>
      <c r="AG234" s="26"/>
      <c r="AH234" s="24">
        <f t="shared" si="57"/>
        <v>62260.10399999999</v>
      </c>
      <c r="AI234" s="24">
        <v>57500</v>
      </c>
      <c r="AJ234" s="24">
        <f t="shared" si="66"/>
        <v>642149.9639999999</v>
      </c>
    </row>
    <row r="235" spans="1:36" ht="15.75">
      <c r="A235" s="3" t="s">
        <v>137</v>
      </c>
      <c r="B235" s="4" t="s">
        <v>3</v>
      </c>
      <c r="C235" s="3" t="s">
        <v>65</v>
      </c>
      <c r="D235" s="18">
        <v>6373.9</v>
      </c>
      <c r="E235" s="11">
        <f t="shared" si="58"/>
        <v>27535.248</v>
      </c>
      <c r="F235" s="11">
        <f t="shared" si="59"/>
        <v>91019.29199999999</v>
      </c>
      <c r="G235" s="11">
        <f t="shared" si="60"/>
        <v>90254.424</v>
      </c>
      <c r="H235" s="11">
        <f t="shared" si="61"/>
        <v>19886.568</v>
      </c>
      <c r="I235" s="11">
        <f t="shared" si="62"/>
        <v>4589.208</v>
      </c>
      <c r="J235" s="11">
        <f t="shared" si="63"/>
        <v>13767.624</v>
      </c>
      <c r="K235" s="11">
        <f>129*8+129*6*2</f>
        <v>2580</v>
      </c>
      <c r="L235" s="8">
        <f>144.73*3</f>
        <v>434.18999999999994</v>
      </c>
      <c r="M235" s="8"/>
      <c r="N235" s="8"/>
      <c r="O235" s="16">
        <f t="shared" si="53"/>
        <v>17528.225</v>
      </c>
      <c r="P235" s="24">
        <f t="shared" si="64"/>
        <v>267594.779</v>
      </c>
      <c r="Q235" s="24">
        <f t="shared" si="68"/>
        <v>100261.447</v>
      </c>
      <c r="R235" s="26">
        <f t="shared" si="54"/>
        <v>235196.90999999997</v>
      </c>
      <c r="S235" s="11"/>
      <c r="T235" s="11"/>
      <c r="U235" s="11"/>
      <c r="V235" s="11"/>
      <c r="W235" s="11"/>
      <c r="X235" s="11"/>
      <c r="Y235" s="11"/>
      <c r="Z235" s="24">
        <f t="shared" si="65"/>
        <v>0</v>
      </c>
      <c r="AA235" s="24">
        <f t="shared" si="55"/>
        <v>98667.97200000001</v>
      </c>
      <c r="AB235" s="24"/>
      <c r="AC235" s="24">
        <f t="shared" si="67"/>
        <v>37478.532</v>
      </c>
      <c r="AD235" s="26">
        <f t="shared" si="56"/>
        <v>17849.32</v>
      </c>
      <c r="AE235" s="8"/>
      <c r="AF235" s="8"/>
      <c r="AG235" s="26"/>
      <c r="AH235" s="24">
        <f t="shared" si="57"/>
        <v>90254.424</v>
      </c>
      <c r="AI235" s="24">
        <v>57500</v>
      </c>
      <c r="AJ235" s="24">
        <f t="shared" si="66"/>
        <v>904803.384</v>
      </c>
    </row>
    <row r="236" spans="1:36" ht="15.75">
      <c r="A236" s="3" t="s">
        <v>137</v>
      </c>
      <c r="B236" s="4" t="s">
        <v>3</v>
      </c>
      <c r="C236" s="3" t="s">
        <v>110</v>
      </c>
      <c r="D236" s="18">
        <v>2661.5</v>
      </c>
      <c r="E236" s="11">
        <f t="shared" si="58"/>
        <v>11497.68</v>
      </c>
      <c r="F236" s="11">
        <f t="shared" si="59"/>
        <v>38006.22</v>
      </c>
      <c r="G236" s="11">
        <f t="shared" si="60"/>
        <v>37686.84</v>
      </c>
      <c r="H236" s="11">
        <f t="shared" si="61"/>
        <v>8303.880000000001</v>
      </c>
      <c r="I236" s="11">
        <f t="shared" si="62"/>
        <v>1916.28</v>
      </c>
      <c r="J236" s="11">
        <f t="shared" si="63"/>
        <v>5748.84</v>
      </c>
      <c r="K236" s="11">
        <f>60*8+60*6*2</f>
        <v>1200</v>
      </c>
      <c r="L236" s="8">
        <f>144.73*2</f>
        <v>289.46</v>
      </c>
      <c r="M236" s="8"/>
      <c r="N236" s="8"/>
      <c r="O236" s="16">
        <f t="shared" si="53"/>
        <v>7319.125</v>
      </c>
      <c r="P236" s="24">
        <f t="shared" si="64"/>
        <v>111968.325</v>
      </c>
      <c r="Q236" s="24">
        <f t="shared" si="68"/>
        <v>41865.395000000004</v>
      </c>
      <c r="R236" s="26">
        <f t="shared" si="54"/>
        <v>98209.35</v>
      </c>
      <c r="S236" s="11">
        <v>90880</v>
      </c>
      <c r="T236" s="11"/>
      <c r="U236" s="11">
        <v>21860</v>
      </c>
      <c r="V236" s="11"/>
      <c r="W236" s="11"/>
      <c r="X236" s="11"/>
      <c r="Y236" s="11">
        <v>208240</v>
      </c>
      <c r="Z236" s="24">
        <f>SUM(S236:Y236)</f>
        <v>320980</v>
      </c>
      <c r="AA236" s="24">
        <f t="shared" si="55"/>
        <v>41200.020000000004</v>
      </c>
      <c r="AB236" s="24"/>
      <c r="AC236" s="24">
        <f t="shared" si="67"/>
        <v>15649.619999999999</v>
      </c>
      <c r="AD236" s="26">
        <f t="shared" si="56"/>
        <v>7454.6</v>
      </c>
      <c r="AE236" s="8"/>
      <c r="AF236" s="8"/>
      <c r="AG236" s="26"/>
      <c r="AH236" s="24">
        <f t="shared" si="57"/>
        <v>37686.84</v>
      </c>
      <c r="AI236" s="24">
        <v>57500</v>
      </c>
      <c r="AJ236" s="24">
        <f t="shared" si="66"/>
        <v>732514.15</v>
      </c>
    </row>
    <row r="237" spans="1:36" ht="15.75">
      <c r="A237" s="3" t="s">
        <v>137</v>
      </c>
      <c r="B237" s="4" t="s">
        <v>3</v>
      </c>
      <c r="C237" s="3" t="s">
        <v>138</v>
      </c>
      <c r="D237" s="18">
        <v>4534.7</v>
      </c>
      <c r="E237" s="11">
        <f t="shared" si="58"/>
        <v>19589.904</v>
      </c>
      <c r="F237" s="11">
        <f t="shared" si="59"/>
        <v>64755.515999999996</v>
      </c>
      <c r="G237" s="11">
        <f t="shared" si="60"/>
        <v>64211.352</v>
      </c>
      <c r="H237" s="11">
        <f t="shared" si="61"/>
        <v>14148.264</v>
      </c>
      <c r="I237" s="11">
        <f t="shared" si="62"/>
        <v>3264.984</v>
      </c>
      <c r="J237" s="11">
        <f t="shared" si="63"/>
        <v>9794.952</v>
      </c>
      <c r="K237" s="11">
        <f>90*8+90*6*2</f>
        <v>1800</v>
      </c>
      <c r="L237" s="8">
        <f>144.73*3</f>
        <v>434.18999999999994</v>
      </c>
      <c r="M237" s="8"/>
      <c r="N237" s="8"/>
      <c r="O237" s="16">
        <f t="shared" si="53"/>
        <v>12470.425</v>
      </c>
      <c r="P237" s="24">
        <f t="shared" si="64"/>
        <v>190469.58699999997</v>
      </c>
      <c r="Q237" s="24">
        <f t="shared" si="68"/>
        <v>71330.831</v>
      </c>
      <c r="R237" s="26">
        <f t="shared" si="54"/>
        <v>167330.43</v>
      </c>
      <c r="S237" s="11">
        <v>115297</v>
      </c>
      <c r="T237" s="11">
        <v>39600</v>
      </c>
      <c r="U237" s="11"/>
      <c r="V237" s="11"/>
      <c r="W237" s="11"/>
      <c r="X237" s="11"/>
      <c r="Y237" s="11"/>
      <c r="Z237" s="24">
        <f t="shared" si="65"/>
        <v>154897</v>
      </c>
      <c r="AA237" s="24">
        <f t="shared" si="55"/>
        <v>70197.156</v>
      </c>
      <c r="AB237" s="24"/>
      <c r="AC237" s="24">
        <f t="shared" si="67"/>
        <v>26664.035999999996</v>
      </c>
      <c r="AD237" s="26">
        <f t="shared" si="56"/>
        <v>12699.56</v>
      </c>
      <c r="AE237" s="8"/>
      <c r="AF237" s="8"/>
      <c r="AG237" s="26"/>
      <c r="AH237" s="24">
        <f t="shared" si="57"/>
        <v>64211.352</v>
      </c>
      <c r="AI237" s="24">
        <v>57500</v>
      </c>
      <c r="AJ237" s="24">
        <f t="shared" si="66"/>
        <v>815299.9519999999</v>
      </c>
    </row>
    <row r="238" spans="1:36" ht="15.75">
      <c r="A238" s="3" t="s">
        <v>139</v>
      </c>
      <c r="B238" s="4" t="s">
        <v>40</v>
      </c>
      <c r="C238" s="3" t="s">
        <v>2</v>
      </c>
      <c r="D238" s="18">
        <v>50.2</v>
      </c>
      <c r="E238" s="11">
        <f t="shared" si="58"/>
        <v>216.86399999999998</v>
      </c>
      <c r="F238" s="11">
        <f t="shared" si="59"/>
        <v>716.856</v>
      </c>
      <c r="G238" s="11">
        <f t="shared" si="60"/>
        <v>710.832</v>
      </c>
      <c r="H238" s="11">
        <f t="shared" si="61"/>
        <v>156.62400000000002</v>
      </c>
      <c r="I238" s="11">
        <f t="shared" si="62"/>
        <v>36.144</v>
      </c>
      <c r="J238" s="11">
        <f t="shared" si="63"/>
        <v>108.43199999999999</v>
      </c>
      <c r="K238" s="11">
        <f>2*230</f>
        <v>460</v>
      </c>
      <c r="L238" s="8"/>
      <c r="M238" s="8"/>
      <c r="N238" s="8"/>
      <c r="O238" s="16">
        <f t="shared" si="53"/>
        <v>138.05</v>
      </c>
      <c r="P238" s="24">
        <f t="shared" si="64"/>
        <v>2543.8020000000006</v>
      </c>
      <c r="Q238" s="24">
        <f t="shared" si="68"/>
        <v>789.6460000000002</v>
      </c>
      <c r="R238" s="26">
        <f t="shared" si="54"/>
        <v>1852.3800000000003</v>
      </c>
      <c r="S238" s="11"/>
      <c r="T238" s="11"/>
      <c r="U238" s="11"/>
      <c r="V238" s="11"/>
      <c r="W238" s="11"/>
      <c r="X238" s="11"/>
      <c r="Y238" s="11"/>
      <c r="Z238" s="24">
        <f t="shared" si="65"/>
        <v>0</v>
      </c>
      <c r="AA238" s="24">
        <f t="shared" si="55"/>
        <v>777.0960000000001</v>
      </c>
      <c r="AB238" s="24"/>
      <c r="AC238" s="24">
        <f t="shared" si="67"/>
        <v>295.17600000000004</v>
      </c>
      <c r="AD238" s="26">
        <f t="shared" si="56"/>
        <v>142.96</v>
      </c>
      <c r="AE238" s="8"/>
      <c r="AF238" s="8"/>
      <c r="AG238" s="26"/>
      <c r="AH238" s="24">
        <f t="shared" si="57"/>
        <v>710.832</v>
      </c>
      <c r="AI238" s="24"/>
      <c r="AJ238" s="24">
        <f t="shared" si="66"/>
        <v>7111.892000000003</v>
      </c>
    </row>
    <row r="239" spans="1:36" ht="15.75">
      <c r="A239" s="3" t="s">
        <v>140</v>
      </c>
      <c r="B239" s="4" t="s">
        <v>1</v>
      </c>
      <c r="C239" s="3" t="s">
        <v>2</v>
      </c>
      <c r="D239" s="18">
        <v>3472.4</v>
      </c>
      <c r="E239" s="11">
        <f t="shared" si="58"/>
        <v>15000.768</v>
      </c>
      <c r="F239" s="11">
        <f t="shared" si="59"/>
        <v>49585.872</v>
      </c>
      <c r="G239" s="11">
        <f t="shared" si="60"/>
        <v>49169.183999999994</v>
      </c>
      <c r="H239" s="11">
        <f t="shared" si="61"/>
        <v>10833.888</v>
      </c>
      <c r="I239" s="11">
        <f t="shared" si="62"/>
        <v>2500.1279999999997</v>
      </c>
      <c r="J239" s="11">
        <f t="shared" si="63"/>
        <v>7500.384</v>
      </c>
      <c r="K239" s="11">
        <f>76*2*6</f>
        <v>912</v>
      </c>
      <c r="L239" s="8">
        <f>144.73*88</f>
        <v>12736.24</v>
      </c>
      <c r="M239" s="8"/>
      <c r="N239" s="8"/>
      <c r="O239" s="16">
        <f t="shared" si="53"/>
        <v>9549.1</v>
      </c>
      <c r="P239" s="24">
        <f t="shared" si="64"/>
        <v>157787.56399999998</v>
      </c>
      <c r="Q239" s="24">
        <f t="shared" si="68"/>
        <v>54620.852000000006</v>
      </c>
      <c r="R239" s="26">
        <f t="shared" si="54"/>
        <v>128131.56000000001</v>
      </c>
      <c r="S239" s="11">
        <v>115360</v>
      </c>
      <c r="T239" s="11"/>
      <c r="U239" s="11"/>
      <c r="V239" s="11"/>
      <c r="W239" s="11"/>
      <c r="X239" s="11">
        <v>69000</v>
      </c>
      <c r="Y239" s="11"/>
      <c r="Z239" s="24">
        <f t="shared" si="65"/>
        <v>184360</v>
      </c>
      <c r="AA239" s="24">
        <f t="shared" si="55"/>
        <v>53752.75200000001</v>
      </c>
      <c r="AB239" s="24"/>
      <c r="AC239" s="24">
        <f t="shared" si="67"/>
        <v>20417.712</v>
      </c>
      <c r="AD239" s="26">
        <f t="shared" si="56"/>
        <v>9725.12</v>
      </c>
      <c r="AE239" s="8"/>
      <c r="AF239" s="8"/>
      <c r="AG239" s="26"/>
      <c r="AH239" s="24">
        <f t="shared" si="57"/>
        <v>49169.183999999994</v>
      </c>
      <c r="AI239" s="24"/>
      <c r="AJ239" s="24">
        <f t="shared" si="66"/>
        <v>657964.744</v>
      </c>
    </row>
    <row r="240" spans="1:36" ht="15.75">
      <c r="A240" s="3" t="s">
        <v>140</v>
      </c>
      <c r="B240" s="4" t="s">
        <v>68</v>
      </c>
      <c r="C240" s="3" t="s">
        <v>2</v>
      </c>
      <c r="D240" s="18">
        <v>2693.4</v>
      </c>
      <c r="E240" s="11">
        <f t="shared" si="58"/>
        <v>11635.488000000001</v>
      </c>
      <c r="F240" s="11">
        <f t="shared" si="59"/>
        <v>38461.752</v>
      </c>
      <c r="G240" s="11">
        <f t="shared" si="60"/>
        <v>38138.544</v>
      </c>
      <c r="H240" s="11">
        <f t="shared" si="61"/>
        <v>8403.408</v>
      </c>
      <c r="I240" s="11">
        <f t="shared" si="62"/>
        <v>1939.248</v>
      </c>
      <c r="J240" s="11">
        <f t="shared" si="63"/>
        <v>5817.744000000001</v>
      </c>
      <c r="K240" s="11">
        <f>60*8+60*6*2</f>
        <v>1200</v>
      </c>
      <c r="L240" s="8">
        <f>144.73*3</f>
        <v>434.18999999999994</v>
      </c>
      <c r="M240" s="8"/>
      <c r="N240" s="8"/>
      <c r="O240" s="16">
        <f t="shared" si="53"/>
        <v>7406.85</v>
      </c>
      <c r="P240" s="24">
        <f t="shared" si="64"/>
        <v>113437.22400000003</v>
      </c>
      <c r="Q240" s="24">
        <f t="shared" si="68"/>
        <v>42367.182</v>
      </c>
      <c r="R240" s="26">
        <f t="shared" si="54"/>
        <v>99386.46000000002</v>
      </c>
      <c r="S240" s="11">
        <v>9230</v>
      </c>
      <c r="T240" s="11">
        <v>31500</v>
      </c>
      <c r="U240" s="11"/>
      <c r="V240" s="11"/>
      <c r="W240" s="11"/>
      <c r="X240" s="11"/>
      <c r="Y240" s="11"/>
      <c r="Z240" s="24">
        <f t="shared" si="65"/>
        <v>40730</v>
      </c>
      <c r="AA240" s="24">
        <f t="shared" si="55"/>
        <v>41693.832</v>
      </c>
      <c r="AB240" s="24"/>
      <c r="AC240" s="24">
        <f t="shared" si="67"/>
        <v>15837.192000000001</v>
      </c>
      <c r="AD240" s="26">
        <f t="shared" si="56"/>
        <v>7543.92</v>
      </c>
      <c r="AE240" s="8"/>
      <c r="AF240" s="8"/>
      <c r="AG240" s="26"/>
      <c r="AH240" s="24">
        <f t="shared" si="57"/>
        <v>38138.544</v>
      </c>
      <c r="AI240" s="24"/>
      <c r="AJ240" s="24">
        <f t="shared" si="66"/>
        <v>399134.354</v>
      </c>
    </row>
    <row r="241" spans="1:36" ht="15.75">
      <c r="A241" s="3" t="s">
        <v>140</v>
      </c>
      <c r="B241" s="4" t="s">
        <v>69</v>
      </c>
      <c r="C241" s="3" t="s">
        <v>2</v>
      </c>
      <c r="D241" s="18">
        <v>1342.5</v>
      </c>
      <c r="E241" s="11">
        <f t="shared" si="58"/>
        <v>5799.599999999999</v>
      </c>
      <c r="F241" s="11">
        <f t="shared" si="59"/>
        <v>19170.899999999998</v>
      </c>
      <c r="G241" s="11">
        <f t="shared" si="60"/>
        <v>19009.8</v>
      </c>
      <c r="H241" s="11">
        <f t="shared" si="61"/>
        <v>4188.6</v>
      </c>
      <c r="I241" s="11">
        <f t="shared" si="62"/>
        <v>966.5999999999999</v>
      </c>
      <c r="J241" s="11">
        <f t="shared" si="63"/>
        <v>2899.7999999999997</v>
      </c>
      <c r="K241" s="11">
        <f>25*6*2</f>
        <v>300</v>
      </c>
      <c r="L241" s="8">
        <f>144.73*31</f>
        <v>4486.63</v>
      </c>
      <c r="M241" s="8"/>
      <c r="N241" s="8"/>
      <c r="O241" s="16">
        <f t="shared" si="53"/>
        <v>3691.8750000000005</v>
      </c>
      <c r="P241" s="24">
        <f t="shared" si="64"/>
        <v>60513.80499999999</v>
      </c>
      <c r="Q241" s="24">
        <f t="shared" si="68"/>
        <v>21117.525</v>
      </c>
      <c r="R241" s="26">
        <f t="shared" si="54"/>
        <v>49538.25</v>
      </c>
      <c r="S241" s="11"/>
      <c r="T241" s="11"/>
      <c r="U241" s="11"/>
      <c r="V241" s="11"/>
      <c r="W241" s="11"/>
      <c r="X241" s="11"/>
      <c r="Y241" s="11"/>
      <c r="Z241" s="24">
        <f t="shared" si="65"/>
        <v>0</v>
      </c>
      <c r="AA241" s="24">
        <f t="shared" si="55"/>
        <v>20781.9</v>
      </c>
      <c r="AB241" s="24"/>
      <c r="AC241" s="24">
        <f t="shared" si="67"/>
        <v>7893.9</v>
      </c>
      <c r="AD241" s="26">
        <f t="shared" si="56"/>
        <v>3761.4</v>
      </c>
      <c r="AE241" s="8"/>
      <c r="AF241" s="8"/>
      <c r="AG241" s="26"/>
      <c r="AH241" s="24">
        <f t="shared" si="57"/>
        <v>19009.8</v>
      </c>
      <c r="AI241" s="24"/>
      <c r="AJ241" s="24">
        <f t="shared" si="66"/>
        <v>182616.57999999996</v>
      </c>
    </row>
    <row r="242" spans="1:36" ht="15.75">
      <c r="A242" s="3" t="s">
        <v>140</v>
      </c>
      <c r="B242" s="4" t="s">
        <v>32</v>
      </c>
      <c r="C242" s="3" t="s">
        <v>2</v>
      </c>
      <c r="D242" s="18">
        <v>740.6</v>
      </c>
      <c r="E242" s="11">
        <f t="shared" si="58"/>
        <v>3199.392</v>
      </c>
      <c r="F242" s="11">
        <f t="shared" si="59"/>
        <v>10575.768</v>
      </c>
      <c r="G242" s="11">
        <f t="shared" si="60"/>
        <v>10486.896</v>
      </c>
      <c r="H242" s="11">
        <f t="shared" si="61"/>
        <v>2310.672</v>
      </c>
      <c r="I242" s="11">
        <f t="shared" si="62"/>
        <v>533.232</v>
      </c>
      <c r="J242" s="11">
        <f t="shared" si="63"/>
        <v>1599.696</v>
      </c>
      <c r="K242" s="11">
        <f>10*4*8+10*6*2</f>
        <v>440</v>
      </c>
      <c r="L242" s="8"/>
      <c r="M242" s="8"/>
      <c r="N242" s="8"/>
      <c r="O242" s="16">
        <f t="shared" si="53"/>
        <v>2036.65</v>
      </c>
      <c r="P242" s="24">
        <f t="shared" si="64"/>
        <v>31182.306</v>
      </c>
      <c r="Q242" s="24"/>
      <c r="R242" s="26">
        <f t="shared" si="54"/>
        <v>27328.140000000003</v>
      </c>
      <c r="S242" s="11"/>
      <c r="T242" s="11"/>
      <c r="U242" s="11"/>
      <c r="V242" s="11"/>
      <c r="W242" s="11"/>
      <c r="X242" s="11"/>
      <c r="Y242" s="11"/>
      <c r="Z242" s="24">
        <f t="shared" si="65"/>
        <v>0</v>
      </c>
      <c r="AA242" s="24">
        <f t="shared" si="55"/>
        <v>11464.488000000001</v>
      </c>
      <c r="AB242" s="24"/>
      <c r="AC242" s="24">
        <f t="shared" si="67"/>
        <v>4354.728</v>
      </c>
      <c r="AD242" s="26">
        <f t="shared" si="56"/>
        <v>2076.0800000000004</v>
      </c>
      <c r="AE242" s="8"/>
      <c r="AF242" s="8"/>
      <c r="AG242" s="26"/>
      <c r="AH242" s="24">
        <f t="shared" si="57"/>
        <v>10486.896</v>
      </c>
      <c r="AI242" s="24"/>
      <c r="AJ242" s="24">
        <f t="shared" si="66"/>
        <v>86892.638</v>
      </c>
    </row>
    <row r="243" spans="1:36" ht="15.75">
      <c r="A243" s="3" t="s">
        <v>140</v>
      </c>
      <c r="B243" s="4" t="s">
        <v>35</v>
      </c>
      <c r="C243" s="3" t="s">
        <v>65</v>
      </c>
      <c r="D243" s="18">
        <v>4718.1</v>
      </c>
      <c r="E243" s="11">
        <f t="shared" si="58"/>
        <v>20382.192000000003</v>
      </c>
      <c r="F243" s="11">
        <f t="shared" si="59"/>
        <v>67374.468</v>
      </c>
      <c r="G243" s="11">
        <f t="shared" si="60"/>
        <v>66808.296</v>
      </c>
      <c r="H243" s="11">
        <f t="shared" si="61"/>
        <v>14720.472000000002</v>
      </c>
      <c r="I243" s="11">
        <f t="shared" si="62"/>
        <v>3397.032</v>
      </c>
      <c r="J243" s="11">
        <f t="shared" si="63"/>
        <v>10191.096000000001</v>
      </c>
      <c r="K243" s="11">
        <f>92*8+92*6*2</f>
        <v>1840</v>
      </c>
      <c r="L243" s="8">
        <f>144.73*2</f>
        <v>289.46</v>
      </c>
      <c r="M243" s="8"/>
      <c r="N243" s="8"/>
      <c r="O243" s="16">
        <f t="shared" si="53"/>
        <v>12974.775000000001</v>
      </c>
      <c r="P243" s="24">
        <f t="shared" si="64"/>
        <v>197977.791</v>
      </c>
      <c r="Q243" s="24">
        <f aca="true" t="shared" si="69" ref="Q243:Q253">D243*1.27*5+D243*1.34*7</f>
        <v>74215.71300000002</v>
      </c>
      <c r="R243" s="26">
        <f t="shared" si="54"/>
        <v>174097.89</v>
      </c>
      <c r="S243" s="11">
        <v>5538</v>
      </c>
      <c r="T243" s="11"/>
      <c r="U243" s="11"/>
      <c r="V243" s="11"/>
      <c r="W243" s="11"/>
      <c r="X243" s="11"/>
      <c r="Y243" s="11"/>
      <c r="Z243" s="24">
        <f t="shared" si="65"/>
        <v>5538</v>
      </c>
      <c r="AA243" s="24">
        <f t="shared" si="55"/>
        <v>73036.18800000001</v>
      </c>
      <c r="AB243" s="24"/>
      <c r="AC243" s="24">
        <f t="shared" si="67"/>
        <v>27742.428</v>
      </c>
      <c r="AD243" s="26">
        <f t="shared" si="56"/>
        <v>13213.080000000002</v>
      </c>
      <c r="AE243" s="8"/>
      <c r="AF243" s="8"/>
      <c r="AG243" s="26"/>
      <c r="AH243" s="24">
        <f t="shared" si="57"/>
        <v>66808.296</v>
      </c>
      <c r="AI243" s="24">
        <v>57500</v>
      </c>
      <c r="AJ243" s="24">
        <f t="shared" si="66"/>
        <v>690129.3859999999</v>
      </c>
    </row>
    <row r="244" spans="1:36" ht="15.75">
      <c r="A244" s="3" t="s">
        <v>140</v>
      </c>
      <c r="B244" s="4" t="s">
        <v>79</v>
      </c>
      <c r="C244" s="3" t="s">
        <v>65</v>
      </c>
      <c r="D244" s="18">
        <v>3355.2</v>
      </c>
      <c r="E244" s="11">
        <f t="shared" si="58"/>
        <v>14494.463999999998</v>
      </c>
      <c r="F244" s="11">
        <f t="shared" si="59"/>
        <v>47912.255999999994</v>
      </c>
      <c r="G244" s="11">
        <f t="shared" si="60"/>
        <v>47509.632</v>
      </c>
      <c r="H244" s="11">
        <f t="shared" si="61"/>
        <v>10468.224</v>
      </c>
      <c r="I244" s="11">
        <f t="shared" si="62"/>
        <v>2415.7439999999997</v>
      </c>
      <c r="J244" s="11">
        <f t="shared" si="63"/>
        <v>7247.231999999999</v>
      </c>
      <c r="K244" s="11">
        <f>66*8+66*6*2</f>
        <v>1320</v>
      </c>
      <c r="L244" s="8">
        <f>144.73*3</f>
        <v>434.18999999999994</v>
      </c>
      <c r="M244" s="8"/>
      <c r="N244" s="8"/>
      <c r="O244" s="16">
        <f t="shared" si="53"/>
        <v>9226.800000000001</v>
      </c>
      <c r="P244" s="24">
        <f t="shared" si="64"/>
        <v>141028.542</v>
      </c>
      <c r="Q244" s="24">
        <f t="shared" si="69"/>
        <v>52777.296</v>
      </c>
      <c r="R244" s="26">
        <f t="shared" si="54"/>
        <v>123806.87999999998</v>
      </c>
      <c r="S244" s="11"/>
      <c r="T244" s="11"/>
      <c r="U244" s="11"/>
      <c r="V244" s="11"/>
      <c r="W244" s="11"/>
      <c r="X244" s="11"/>
      <c r="Y244" s="11"/>
      <c r="Z244" s="24">
        <f t="shared" si="65"/>
        <v>0</v>
      </c>
      <c r="AA244" s="24">
        <f t="shared" si="55"/>
        <v>51938.496</v>
      </c>
      <c r="AB244" s="24"/>
      <c r="AC244" s="24">
        <f t="shared" si="67"/>
        <v>19728.575999999997</v>
      </c>
      <c r="AD244" s="26">
        <f t="shared" si="56"/>
        <v>9396.96</v>
      </c>
      <c r="AE244" s="8"/>
      <c r="AF244" s="8"/>
      <c r="AG244" s="26"/>
      <c r="AH244" s="24">
        <f t="shared" si="57"/>
        <v>47509.632</v>
      </c>
      <c r="AI244" s="24">
        <v>57500</v>
      </c>
      <c r="AJ244" s="24">
        <f t="shared" si="66"/>
        <v>503686.382</v>
      </c>
    </row>
    <row r="245" spans="1:36" ht="15.75">
      <c r="A245" s="3" t="s">
        <v>140</v>
      </c>
      <c r="B245" s="4" t="s">
        <v>79</v>
      </c>
      <c r="C245" s="3" t="s">
        <v>110</v>
      </c>
      <c r="D245" s="18">
        <v>4453.9</v>
      </c>
      <c r="E245" s="11">
        <f t="shared" si="58"/>
        <v>19240.847999999998</v>
      </c>
      <c r="F245" s="11">
        <f t="shared" si="59"/>
        <v>63601.691999999995</v>
      </c>
      <c r="G245" s="11">
        <f t="shared" si="60"/>
        <v>63067.22399999999</v>
      </c>
      <c r="H245" s="11">
        <f t="shared" si="61"/>
        <v>13896.167999999998</v>
      </c>
      <c r="I245" s="11">
        <f t="shared" si="62"/>
        <v>3206.808</v>
      </c>
      <c r="J245" s="11">
        <f t="shared" si="63"/>
        <v>9620.423999999999</v>
      </c>
      <c r="K245" s="11">
        <f>99*6*2</f>
        <v>1188</v>
      </c>
      <c r="L245" s="8">
        <f>144.73*3</f>
        <v>434.18999999999994</v>
      </c>
      <c r="M245" s="8"/>
      <c r="N245" s="8"/>
      <c r="O245" s="16">
        <f t="shared" si="53"/>
        <v>12248.225</v>
      </c>
      <c r="P245" s="24">
        <f t="shared" si="64"/>
        <v>186503.57899999997</v>
      </c>
      <c r="Q245" s="24">
        <f t="shared" si="69"/>
        <v>70059.847</v>
      </c>
      <c r="R245" s="26">
        <f t="shared" si="54"/>
        <v>164348.90999999997</v>
      </c>
      <c r="S245" s="11">
        <v>36920</v>
      </c>
      <c r="T245" s="11"/>
      <c r="U245" s="11"/>
      <c r="V245" s="11"/>
      <c r="W245" s="11"/>
      <c r="X245" s="11">
        <v>6500</v>
      </c>
      <c r="Y245" s="11"/>
      <c r="Z245" s="24">
        <f t="shared" si="65"/>
        <v>43420</v>
      </c>
      <c r="AA245" s="24">
        <f t="shared" si="55"/>
        <v>68946.372</v>
      </c>
      <c r="AB245" s="24"/>
      <c r="AC245" s="24">
        <f t="shared" si="67"/>
        <v>26188.931999999993</v>
      </c>
      <c r="AD245" s="26">
        <f t="shared" si="56"/>
        <v>12473.32</v>
      </c>
      <c r="AE245" s="8"/>
      <c r="AF245" s="8"/>
      <c r="AG245" s="26"/>
      <c r="AH245" s="24">
        <f t="shared" si="57"/>
        <v>63067.22399999999</v>
      </c>
      <c r="AI245" s="24"/>
      <c r="AJ245" s="24">
        <f t="shared" si="66"/>
        <v>635008.1839999999</v>
      </c>
    </row>
    <row r="246" spans="1:36" ht="15.75">
      <c r="A246" s="3" t="s">
        <v>140</v>
      </c>
      <c r="B246" s="4" t="s">
        <v>70</v>
      </c>
      <c r="C246" s="3" t="s">
        <v>2</v>
      </c>
      <c r="D246" s="18">
        <v>4902.7</v>
      </c>
      <c r="E246" s="11">
        <f t="shared" si="58"/>
        <v>21179.664</v>
      </c>
      <c r="F246" s="11">
        <f t="shared" si="59"/>
        <v>70010.556</v>
      </c>
      <c r="G246" s="11">
        <f t="shared" si="60"/>
        <v>69422.23199999999</v>
      </c>
      <c r="H246" s="11">
        <f t="shared" si="61"/>
        <v>15296.423999999999</v>
      </c>
      <c r="I246" s="11">
        <f t="shared" si="62"/>
        <v>3529.9439999999995</v>
      </c>
      <c r="J246" s="11">
        <f t="shared" si="63"/>
        <v>10589.832</v>
      </c>
      <c r="K246" s="11">
        <f>89*6*2</f>
        <v>1068</v>
      </c>
      <c r="L246" s="8">
        <f>144.73*3</f>
        <v>434.18999999999994</v>
      </c>
      <c r="M246" s="8"/>
      <c r="N246" s="8"/>
      <c r="O246" s="16">
        <f t="shared" si="53"/>
        <v>13482.425000000001</v>
      </c>
      <c r="P246" s="24">
        <f t="shared" si="64"/>
        <v>205013.26699999996</v>
      </c>
      <c r="Q246" s="24">
        <f t="shared" si="69"/>
        <v>77119.471</v>
      </c>
      <c r="R246" s="26">
        <f t="shared" si="54"/>
        <v>180909.62999999998</v>
      </c>
      <c r="S246" s="11"/>
      <c r="T246" s="11">
        <v>19500</v>
      </c>
      <c r="U246" s="11"/>
      <c r="V246" s="11"/>
      <c r="W246" s="11"/>
      <c r="X246" s="11"/>
      <c r="Y246" s="11"/>
      <c r="Z246" s="24">
        <f t="shared" si="65"/>
        <v>19500</v>
      </c>
      <c r="AA246" s="24">
        <f t="shared" si="55"/>
        <v>75893.796</v>
      </c>
      <c r="AB246" s="24"/>
      <c r="AC246" s="24">
        <f t="shared" si="67"/>
        <v>28827.875999999997</v>
      </c>
      <c r="AD246" s="26">
        <f t="shared" si="56"/>
        <v>13729.96</v>
      </c>
      <c r="AE246" s="8"/>
      <c r="AF246" s="8"/>
      <c r="AG246" s="26"/>
      <c r="AH246" s="24">
        <f t="shared" si="57"/>
        <v>69422.23199999999</v>
      </c>
      <c r="AI246" s="24"/>
      <c r="AJ246" s="24">
        <f t="shared" si="66"/>
        <v>670416.2319999998</v>
      </c>
    </row>
    <row r="247" spans="1:36" ht="15.75">
      <c r="A247" s="3" t="s">
        <v>140</v>
      </c>
      <c r="B247" s="4" t="s">
        <v>11</v>
      </c>
      <c r="C247" s="3" t="s">
        <v>2</v>
      </c>
      <c r="D247" s="18">
        <v>764.4</v>
      </c>
      <c r="E247" s="11">
        <f t="shared" si="58"/>
        <v>3302.2079999999996</v>
      </c>
      <c r="F247" s="11">
        <f t="shared" si="59"/>
        <v>10915.632</v>
      </c>
      <c r="G247" s="11">
        <f t="shared" si="60"/>
        <v>10823.903999999999</v>
      </c>
      <c r="H247" s="11">
        <f t="shared" si="61"/>
        <v>2384.928</v>
      </c>
      <c r="I247" s="11">
        <f t="shared" si="62"/>
        <v>550.3679999999999</v>
      </c>
      <c r="J247" s="11">
        <f t="shared" si="63"/>
        <v>1651.1039999999998</v>
      </c>
      <c r="K247" s="11">
        <f>18*8*4+18*6*2</f>
        <v>792</v>
      </c>
      <c r="L247" s="8">
        <f>144.73*2</f>
        <v>289.46</v>
      </c>
      <c r="M247" s="8"/>
      <c r="N247" s="8">
        <f>465*20.77</f>
        <v>9658.05</v>
      </c>
      <c r="O247" s="16">
        <f t="shared" si="53"/>
        <v>2102.1</v>
      </c>
      <c r="P247" s="24">
        <f t="shared" si="64"/>
        <v>42469.75399999999</v>
      </c>
      <c r="Q247" s="24">
        <f t="shared" si="69"/>
        <v>12024.012</v>
      </c>
      <c r="R247" s="26">
        <f t="shared" si="54"/>
        <v>28206.359999999997</v>
      </c>
      <c r="S247" s="11">
        <v>4640</v>
      </c>
      <c r="T247" s="11"/>
      <c r="U247" s="11"/>
      <c r="V247" s="11"/>
      <c r="W247" s="11"/>
      <c r="X247" s="11">
        <v>68000</v>
      </c>
      <c r="Y247" s="11"/>
      <c r="Z247" s="24">
        <f t="shared" si="65"/>
        <v>72640</v>
      </c>
      <c r="AA247" s="24">
        <f t="shared" si="55"/>
        <v>11832.912</v>
      </c>
      <c r="AB247" s="24"/>
      <c r="AC247" s="24">
        <f t="shared" si="67"/>
        <v>4494.672</v>
      </c>
      <c r="AD247" s="26">
        <f t="shared" si="56"/>
        <v>2142.72</v>
      </c>
      <c r="AE247" s="8"/>
      <c r="AF247" s="8"/>
      <c r="AG247" s="26"/>
      <c r="AH247" s="24">
        <f t="shared" si="57"/>
        <v>10823.903999999999</v>
      </c>
      <c r="AI247" s="24"/>
      <c r="AJ247" s="24">
        <f t="shared" si="66"/>
        <v>184634.334</v>
      </c>
    </row>
    <row r="248" spans="1:36" ht="15.75">
      <c r="A248" s="3" t="s">
        <v>140</v>
      </c>
      <c r="B248" s="4" t="s">
        <v>64</v>
      </c>
      <c r="C248" s="3" t="s">
        <v>2</v>
      </c>
      <c r="D248" s="18">
        <v>4891.4</v>
      </c>
      <c r="E248" s="11">
        <f t="shared" si="58"/>
        <v>21130.847999999998</v>
      </c>
      <c r="F248" s="11">
        <f t="shared" si="59"/>
        <v>69849.192</v>
      </c>
      <c r="G248" s="11">
        <f t="shared" si="60"/>
        <v>69262.22399999999</v>
      </c>
      <c r="H248" s="11">
        <f t="shared" si="61"/>
        <v>15261.167999999998</v>
      </c>
      <c r="I248" s="11">
        <f t="shared" si="62"/>
        <v>3521.808</v>
      </c>
      <c r="J248" s="11">
        <f t="shared" si="63"/>
        <v>10565.423999999999</v>
      </c>
      <c r="K248" s="11">
        <f>90*8+90*6*2</f>
        <v>1800</v>
      </c>
      <c r="L248" s="8">
        <f>144.73*2</f>
        <v>289.46</v>
      </c>
      <c r="M248" s="8"/>
      <c r="N248" s="8"/>
      <c r="O248" s="16">
        <f t="shared" si="53"/>
        <v>13451.35</v>
      </c>
      <c r="P248" s="24">
        <f t="shared" si="64"/>
        <v>205131.47399999996</v>
      </c>
      <c r="Q248" s="24">
        <f t="shared" si="69"/>
        <v>76941.722</v>
      </c>
      <c r="R248" s="26">
        <f t="shared" si="54"/>
        <v>180492.65999999997</v>
      </c>
      <c r="S248" s="11"/>
      <c r="T248" s="11">
        <v>9000</v>
      </c>
      <c r="U248" s="11"/>
      <c r="V248" s="11"/>
      <c r="W248" s="11"/>
      <c r="X248" s="11"/>
      <c r="Y248" s="11"/>
      <c r="Z248" s="24">
        <f t="shared" si="65"/>
        <v>9000</v>
      </c>
      <c r="AA248" s="24">
        <f t="shared" si="55"/>
        <v>75718.872</v>
      </c>
      <c r="AB248" s="24"/>
      <c r="AC248" s="24">
        <f t="shared" si="67"/>
        <v>28761.431999999993</v>
      </c>
      <c r="AD248" s="26">
        <f t="shared" si="56"/>
        <v>13698.32</v>
      </c>
      <c r="AE248" s="8"/>
      <c r="AF248" s="8"/>
      <c r="AG248" s="26"/>
      <c r="AH248" s="24">
        <f t="shared" si="57"/>
        <v>69262.22399999999</v>
      </c>
      <c r="AI248" s="24">
        <v>57500</v>
      </c>
      <c r="AJ248" s="24">
        <f t="shared" si="66"/>
        <v>716506.7039999999</v>
      </c>
    </row>
    <row r="249" spans="1:36" ht="15.75">
      <c r="A249" s="3" t="s">
        <v>140</v>
      </c>
      <c r="B249" s="4" t="s">
        <v>72</v>
      </c>
      <c r="C249" s="3" t="s">
        <v>2</v>
      </c>
      <c r="D249" s="18">
        <v>3564.9</v>
      </c>
      <c r="E249" s="11">
        <f t="shared" si="58"/>
        <v>15400.368</v>
      </c>
      <c r="F249" s="11">
        <f t="shared" si="59"/>
        <v>50906.772</v>
      </c>
      <c r="G249" s="11">
        <f t="shared" si="60"/>
        <v>50478.984000000004</v>
      </c>
      <c r="H249" s="11">
        <f t="shared" si="61"/>
        <v>11122.488000000001</v>
      </c>
      <c r="I249" s="11">
        <f t="shared" si="62"/>
        <v>2566.728</v>
      </c>
      <c r="J249" s="11">
        <f t="shared" si="63"/>
        <v>7700.184</v>
      </c>
      <c r="K249" s="11">
        <f>80*6*2</f>
        <v>960</v>
      </c>
      <c r="L249" s="8">
        <f>144.73*3</f>
        <v>434.18999999999994</v>
      </c>
      <c r="M249" s="8"/>
      <c r="N249" s="8"/>
      <c r="O249" s="16">
        <f t="shared" si="53"/>
        <v>9803.475</v>
      </c>
      <c r="P249" s="24">
        <f t="shared" si="64"/>
        <v>149373.189</v>
      </c>
      <c r="Q249" s="24">
        <f t="shared" si="69"/>
        <v>56075.877</v>
      </c>
      <c r="R249" s="26">
        <f t="shared" si="54"/>
        <v>131544.81</v>
      </c>
      <c r="S249" s="11">
        <v>53446</v>
      </c>
      <c r="T249" s="11">
        <v>490800.02</v>
      </c>
      <c r="U249" s="11">
        <v>42693</v>
      </c>
      <c r="V249" s="11"/>
      <c r="W249" s="11"/>
      <c r="X249" s="11"/>
      <c r="Y249" s="11">
        <v>334210</v>
      </c>
      <c r="Z249" s="24">
        <f>SUM(S249:Y249)</f>
        <v>921149.02</v>
      </c>
      <c r="AA249" s="24">
        <f t="shared" si="55"/>
        <v>55184.652</v>
      </c>
      <c r="AB249" s="24"/>
      <c r="AC249" s="24">
        <f t="shared" si="67"/>
        <v>20961.612</v>
      </c>
      <c r="AD249" s="26">
        <f t="shared" si="56"/>
        <v>9984.12</v>
      </c>
      <c r="AE249" s="8"/>
      <c r="AF249" s="8"/>
      <c r="AG249" s="26"/>
      <c r="AH249" s="24">
        <f t="shared" si="57"/>
        <v>50478.984000000004</v>
      </c>
      <c r="AI249" s="24"/>
      <c r="AJ249" s="24">
        <f t="shared" si="66"/>
        <v>1394752.2640000002</v>
      </c>
    </row>
    <row r="250" spans="1:36" ht="15.75">
      <c r="A250" s="3" t="s">
        <v>140</v>
      </c>
      <c r="B250" s="4" t="s">
        <v>66</v>
      </c>
      <c r="C250" s="3" t="s">
        <v>65</v>
      </c>
      <c r="D250" s="18">
        <v>5789.6</v>
      </c>
      <c r="E250" s="11">
        <f t="shared" si="58"/>
        <v>25011.072</v>
      </c>
      <c r="F250" s="11">
        <f t="shared" si="59"/>
        <v>82675.488</v>
      </c>
      <c r="G250" s="11">
        <f t="shared" si="60"/>
        <v>81980.736</v>
      </c>
      <c r="H250" s="11">
        <f t="shared" si="61"/>
        <v>18063.552</v>
      </c>
      <c r="I250" s="11">
        <f t="shared" si="62"/>
        <v>4168.512000000001</v>
      </c>
      <c r="J250" s="11">
        <f t="shared" si="63"/>
        <v>12505.536</v>
      </c>
      <c r="K250" s="11">
        <f>119*8+119*6*2</f>
        <v>2380</v>
      </c>
      <c r="L250" s="8">
        <f>144.73*3</f>
        <v>434.18999999999994</v>
      </c>
      <c r="M250" s="8"/>
      <c r="N250" s="8"/>
      <c r="O250" s="16">
        <f t="shared" si="53"/>
        <v>15921.400000000003</v>
      </c>
      <c r="P250" s="24">
        <f t="shared" si="64"/>
        <v>243140.48599999998</v>
      </c>
      <c r="Q250" s="24">
        <f t="shared" si="69"/>
        <v>91070.40800000001</v>
      </c>
      <c r="R250" s="26">
        <f t="shared" si="54"/>
        <v>213636.24000000005</v>
      </c>
      <c r="S250" s="11"/>
      <c r="T250" s="11">
        <f>90*135</f>
        <v>12150</v>
      </c>
      <c r="U250" s="11"/>
      <c r="V250" s="11"/>
      <c r="W250" s="11"/>
      <c r="X250" s="11"/>
      <c r="Y250" s="11"/>
      <c r="Z250" s="24">
        <f t="shared" si="65"/>
        <v>12150</v>
      </c>
      <c r="AA250" s="24">
        <f t="shared" si="55"/>
        <v>89623.008</v>
      </c>
      <c r="AB250" s="24"/>
      <c r="AC250" s="24">
        <f t="shared" si="67"/>
        <v>34042.848</v>
      </c>
      <c r="AD250" s="26">
        <f t="shared" si="56"/>
        <v>16213.28</v>
      </c>
      <c r="AE250" s="8"/>
      <c r="AF250" s="8"/>
      <c r="AG250" s="26"/>
      <c r="AH250" s="24">
        <f t="shared" si="57"/>
        <v>81980.736</v>
      </c>
      <c r="AI250" s="24"/>
      <c r="AJ250" s="24">
        <f t="shared" si="66"/>
        <v>781857.0060000002</v>
      </c>
    </row>
    <row r="251" spans="1:36" ht="15.75">
      <c r="A251" s="3" t="s">
        <v>140</v>
      </c>
      <c r="B251" s="4" t="s">
        <v>66</v>
      </c>
      <c r="C251" s="3" t="s">
        <v>110</v>
      </c>
      <c r="D251" s="18">
        <v>4430.2</v>
      </c>
      <c r="E251" s="11">
        <f t="shared" si="58"/>
        <v>19138.464</v>
      </c>
      <c r="F251" s="11">
        <f t="shared" si="59"/>
        <v>63263.255999999994</v>
      </c>
      <c r="G251" s="11">
        <f t="shared" si="60"/>
        <v>62731.632</v>
      </c>
      <c r="H251" s="11">
        <f t="shared" si="61"/>
        <v>13822.224000000002</v>
      </c>
      <c r="I251" s="11">
        <f t="shared" si="62"/>
        <v>3189.7439999999997</v>
      </c>
      <c r="J251" s="11">
        <f t="shared" si="63"/>
        <v>9569.232</v>
      </c>
      <c r="K251" s="11">
        <f>90*8+90*6*2</f>
        <v>1800</v>
      </c>
      <c r="L251" s="8">
        <f>144.73*2</f>
        <v>289.46</v>
      </c>
      <c r="M251" s="8"/>
      <c r="N251" s="8"/>
      <c r="O251" s="16">
        <f t="shared" si="53"/>
        <v>12183.050000000001</v>
      </c>
      <c r="P251" s="24">
        <f t="shared" si="64"/>
        <v>185987.06199999998</v>
      </c>
      <c r="Q251" s="24">
        <f t="shared" si="69"/>
        <v>69687.046</v>
      </c>
      <c r="R251" s="26">
        <f t="shared" si="54"/>
        <v>163474.37999999998</v>
      </c>
      <c r="S251" s="11">
        <v>18460</v>
      </c>
      <c r="T251" s="11"/>
      <c r="U251" s="11"/>
      <c r="V251" s="11"/>
      <c r="W251" s="11"/>
      <c r="X251" s="11"/>
      <c r="Y251" s="11"/>
      <c r="Z251" s="24">
        <f t="shared" si="65"/>
        <v>18460</v>
      </c>
      <c r="AA251" s="24">
        <f t="shared" si="55"/>
        <v>68579.496</v>
      </c>
      <c r="AB251" s="24"/>
      <c r="AC251" s="24">
        <f t="shared" si="67"/>
        <v>26049.575999999997</v>
      </c>
      <c r="AD251" s="26">
        <f t="shared" si="56"/>
        <v>12406.96</v>
      </c>
      <c r="AE251" s="8"/>
      <c r="AF251" s="8"/>
      <c r="AG251" s="26"/>
      <c r="AH251" s="24">
        <f t="shared" si="57"/>
        <v>62731.632</v>
      </c>
      <c r="AI251" s="24">
        <v>57500</v>
      </c>
      <c r="AJ251" s="24">
        <f t="shared" si="66"/>
        <v>664876.1519999999</v>
      </c>
    </row>
    <row r="252" spans="1:36" ht="15.75">
      <c r="A252" s="3" t="s">
        <v>140</v>
      </c>
      <c r="B252" s="4" t="s">
        <v>128</v>
      </c>
      <c r="C252" s="3" t="s">
        <v>2</v>
      </c>
      <c r="D252" s="18">
        <v>3540.2</v>
      </c>
      <c r="E252" s="11">
        <f t="shared" si="58"/>
        <v>15293.664</v>
      </c>
      <c r="F252" s="11">
        <f t="shared" si="59"/>
        <v>50554.056</v>
      </c>
      <c r="G252" s="11">
        <f t="shared" si="60"/>
        <v>50129.231999999996</v>
      </c>
      <c r="H252" s="11">
        <f t="shared" si="61"/>
        <v>11045.423999999999</v>
      </c>
      <c r="I252" s="11">
        <f t="shared" si="62"/>
        <v>2548.9439999999995</v>
      </c>
      <c r="J252" s="11">
        <f t="shared" si="63"/>
        <v>7646.832</v>
      </c>
      <c r="K252" s="11">
        <f>80*6*2</f>
        <v>960</v>
      </c>
      <c r="L252" s="8">
        <f>144.73*3</f>
        <v>434.18999999999994</v>
      </c>
      <c r="M252" s="8"/>
      <c r="N252" s="8"/>
      <c r="O252" s="16">
        <f t="shared" si="53"/>
        <v>9735.550000000001</v>
      </c>
      <c r="P252" s="24">
        <f t="shared" si="64"/>
        <v>148347.892</v>
      </c>
      <c r="Q252" s="24">
        <f t="shared" si="69"/>
        <v>55687.346000000005</v>
      </c>
      <c r="R252" s="26">
        <f t="shared" si="54"/>
        <v>130633.37999999998</v>
      </c>
      <c r="S252" s="11">
        <v>45888</v>
      </c>
      <c r="T252" s="11">
        <v>87000</v>
      </c>
      <c r="U252" s="11"/>
      <c r="V252" s="11"/>
      <c r="W252" s="11"/>
      <c r="X252" s="11"/>
      <c r="Y252" s="11"/>
      <c r="Z252" s="24">
        <f t="shared" si="65"/>
        <v>132888</v>
      </c>
      <c r="AA252" s="24">
        <f t="shared" si="55"/>
        <v>54802.296</v>
      </c>
      <c r="AB252" s="24"/>
      <c r="AC252" s="24">
        <f t="shared" si="67"/>
        <v>20816.375999999997</v>
      </c>
      <c r="AD252" s="26">
        <f t="shared" si="56"/>
        <v>9914.96</v>
      </c>
      <c r="AE252" s="8"/>
      <c r="AF252" s="8"/>
      <c r="AG252" s="26"/>
      <c r="AH252" s="24">
        <f t="shared" si="57"/>
        <v>50129.231999999996</v>
      </c>
      <c r="AI252" s="24">
        <v>57500</v>
      </c>
      <c r="AJ252" s="24">
        <f t="shared" si="66"/>
        <v>660719.482</v>
      </c>
    </row>
    <row r="253" spans="1:36" ht="15.75">
      <c r="A253" s="3" t="s">
        <v>45</v>
      </c>
      <c r="B253" s="4" t="s">
        <v>90</v>
      </c>
      <c r="C253" s="8"/>
      <c r="D253" s="18">
        <v>501.6</v>
      </c>
      <c r="E253" s="11">
        <f t="shared" si="58"/>
        <v>2166.912</v>
      </c>
      <c r="F253" s="11">
        <f t="shared" si="59"/>
        <v>7162.848</v>
      </c>
      <c r="G253" s="11">
        <f t="shared" si="60"/>
        <v>7102.656000000001</v>
      </c>
      <c r="H253" s="11">
        <f t="shared" si="61"/>
        <v>1564.992</v>
      </c>
      <c r="I253" s="11">
        <f t="shared" si="62"/>
        <v>361.152</v>
      </c>
      <c r="J253" s="11">
        <f t="shared" si="63"/>
        <v>1083.456</v>
      </c>
      <c r="K253" s="11">
        <f>10*8*4+10*6*2</f>
        <v>440</v>
      </c>
      <c r="L253" s="8">
        <f>144.73*3</f>
        <v>434.18999999999994</v>
      </c>
      <c r="M253" s="8"/>
      <c r="N253" s="8">
        <f>166*20.77</f>
        <v>3447.8199999999997</v>
      </c>
      <c r="O253" s="16">
        <f t="shared" si="53"/>
        <v>1379.4000000000003</v>
      </c>
      <c r="P253" s="24">
        <f t="shared" si="64"/>
        <v>25143.425999999996</v>
      </c>
      <c r="Q253" s="24">
        <f t="shared" si="69"/>
        <v>7890.1680000000015</v>
      </c>
      <c r="R253" s="26">
        <f t="shared" si="54"/>
        <v>18509.04</v>
      </c>
      <c r="S253" s="11"/>
      <c r="T253" s="11"/>
      <c r="U253" s="11">
        <v>115000</v>
      </c>
      <c r="V253" s="11">
        <v>28940</v>
      </c>
      <c r="W253" s="11"/>
      <c r="X253" s="11"/>
      <c r="Y253" s="11"/>
      <c r="Z253" s="24">
        <f t="shared" si="65"/>
        <v>143940</v>
      </c>
      <c r="AA253" s="24">
        <f t="shared" si="55"/>
        <v>7764.768000000001</v>
      </c>
      <c r="AB253" s="24"/>
      <c r="AC253" s="24">
        <f t="shared" si="67"/>
        <v>2949.4080000000004</v>
      </c>
      <c r="AD253" s="26">
        <f t="shared" si="56"/>
        <v>1406.88</v>
      </c>
      <c r="AE253" s="8"/>
      <c r="AF253" s="8"/>
      <c r="AG253" s="26"/>
      <c r="AH253" s="24">
        <f t="shared" si="57"/>
        <v>7102.656000000001</v>
      </c>
      <c r="AI253" s="24">
        <v>57500</v>
      </c>
      <c r="AJ253" s="24">
        <f t="shared" si="66"/>
        <v>272206.346</v>
      </c>
    </row>
    <row r="254" spans="1:36" ht="15.75">
      <c r="A254" s="3" t="s">
        <v>45</v>
      </c>
      <c r="B254" s="4" t="s">
        <v>147</v>
      </c>
      <c r="C254" s="8"/>
      <c r="D254" s="18">
        <v>142.2</v>
      </c>
      <c r="E254" s="11">
        <f t="shared" si="58"/>
        <v>614.3039999999999</v>
      </c>
      <c r="F254" s="11">
        <f t="shared" si="59"/>
        <v>2030.616</v>
      </c>
      <c r="G254" s="11">
        <f t="shared" si="60"/>
        <v>2013.5519999999997</v>
      </c>
      <c r="H254" s="11">
        <f t="shared" si="61"/>
        <v>443.664</v>
      </c>
      <c r="I254" s="11">
        <f t="shared" si="62"/>
        <v>102.38399999999999</v>
      </c>
      <c r="J254" s="11">
        <f t="shared" si="63"/>
        <v>307.15199999999993</v>
      </c>
      <c r="K254" s="11">
        <f>2*8*4+2*6*2</f>
        <v>88</v>
      </c>
      <c r="L254" s="8">
        <f>144.73*6</f>
        <v>868.3799999999999</v>
      </c>
      <c r="M254" s="8"/>
      <c r="N254" s="8">
        <f>819*20.77</f>
        <v>17010.63</v>
      </c>
      <c r="O254" s="16">
        <f t="shared" si="53"/>
        <v>391.04999999999995</v>
      </c>
      <c r="P254" s="24">
        <f t="shared" si="64"/>
        <v>23869.732</v>
      </c>
      <c r="Q254" s="24"/>
      <c r="R254" s="26">
        <f t="shared" si="54"/>
        <v>5247.18</v>
      </c>
      <c r="S254" s="11">
        <f>30*700</f>
        <v>21000</v>
      </c>
      <c r="T254" s="11"/>
      <c r="U254" s="11">
        <v>1572</v>
      </c>
      <c r="V254" s="11">
        <v>21620</v>
      </c>
      <c r="W254" s="11">
        <f>4*220</f>
        <v>880</v>
      </c>
      <c r="X254" s="11"/>
      <c r="Y254" s="11"/>
      <c r="Z254" s="24">
        <f t="shared" si="65"/>
        <v>45072</v>
      </c>
      <c r="AA254" s="24">
        <f t="shared" si="55"/>
        <v>2201.256</v>
      </c>
      <c r="AB254" s="24"/>
      <c r="AC254" s="24">
        <f t="shared" si="67"/>
        <v>836.136</v>
      </c>
      <c r="AD254" s="26">
        <f t="shared" si="56"/>
        <v>400.55999999999995</v>
      </c>
      <c r="AE254" s="8"/>
      <c r="AF254" s="8"/>
      <c r="AG254" s="26"/>
      <c r="AH254" s="24">
        <f t="shared" si="57"/>
        <v>2013.5519999999997</v>
      </c>
      <c r="AI254" s="24">
        <v>57500</v>
      </c>
      <c r="AJ254" s="24">
        <f t="shared" si="66"/>
        <v>137140.41599999997</v>
      </c>
    </row>
    <row r="255" spans="1:36" ht="15.75">
      <c r="A255" s="3" t="s">
        <v>81</v>
      </c>
      <c r="B255" s="4" t="s">
        <v>148</v>
      </c>
      <c r="C255" s="8"/>
      <c r="D255" s="18">
        <v>370.8</v>
      </c>
      <c r="E255" s="11">
        <f t="shared" si="58"/>
        <v>1601.856</v>
      </c>
      <c r="F255" s="11">
        <f t="shared" si="59"/>
        <v>5295.024</v>
      </c>
      <c r="G255" s="11">
        <f t="shared" si="60"/>
        <v>5250.528</v>
      </c>
      <c r="H255" s="11">
        <f t="shared" si="61"/>
        <v>1156.896</v>
      </c>
      <c r="I255" s="11">
        <f t="shared" si="62"/>
        <v>266.976</v>
      </c>
      <c r="J255" s="11">
        <f t="shared" si="63"/>
        <v>800.928</v>
      </c>
      <c r="K255" s="11">
        <f>8*8*4+8*6*2</f>
        <v>352</v>
      </c>
      <c r="L255" s="8">
        <f>144.73*12</f>
        <v>1736.7599999999998</v>
      </c>
      <c r="M255" s="8"/>
      <c r="N255" s="8"/>
      <c r="O255" s="16">
        <f t="shared" si="53"/>
        <v>1019.7000000000002</v>
      </c>
      <c r="P255" s="24">
        <f t="shared" si="64"/>
        <v>17480.668</v>
      </c>
      <c r="Q255" s="24"/>
      <c r="R255" s="26">
        <f t="shared" si="54"/>
        <v>13682.52</v>
      </c>
      <c r="S255" s="11"/>
      <c r="T255" s="11"/>
      <c r="U255" s="11"/>
      <c r="V255" s="11"/>
      <c r="W255" s="11"/>
      <c r="X255" s="11"/>
      <c r="Y255" s="11"/>
      <c r="Z255" s="24">
        <f t="shared" si="65"/>
        <v>0</v>
      </c>
      <c r="AA255" s="24">
        <f t="shared" si="55"/>
        <v>5739.984</v>
      </c>
      <c r="AB255" s="24"/>
      <c r="AC255" s="24">
        <f t="shared" si="67"/>
        <v>2180.304</v>
      </c>
      <c r="AD255" s="26">
        <f t="shared" si="56"/>
        <v>1040.6400000000003</v>
      </c>
      <c r="AE255" s="8"/>
      <c r="AF255" s="8"/>
      <c r="AG255" s="26"/>
      <c r="AH255" s="24">
        <f t="shared" si="57"/>
        <v>5250.528</v>
      </c>
      <c r="AI255" s="24">
        <v>57500</v>
      </c>
      <c r="AJ255" s="24">
        <f t="shared" si="66"/>
        <v>102874.644</v>
      </c>
    </row>
    <row r="256" spans="5:36" ht="15">
      <c r="E256" s="8"/>
      <c r="F256" s="8"/>
      <c r="G256" s="8"/>
      <c r="H256" s="8"/>
      <c r="I256" s="8"/>
      <c r="J256" s="8"/>
      <c r="K256" s="11">
        <f>SUM(K3:K255)</f>
        <v>274250</v>
      </c>
      <c r="L256" s="11">
        <f aca="true" t="shared" si="70" ref="L256:AC256">SUM(L3:L255)</f>
        <v>637141.5799999984</v>
      </c>
      <c r="M256" s="11">
        <f t="shared" si="70"/>
        <v>18799.440000000006</v>
      </c>
      <c r="N256" s="11">
        <f t="shared" si="70"/>
        <v>550529.62</v>
      </c>
      <c r="O256" s="16"/>
      <c r="P256" s="11">
        <f t="shared" si="70"/>
        <v>28122991.787800003</v>
      </c>
      <c r="Q256" s="24">
        <f t="shared" si="70"/>
        <v>9052201.301</v>
      </c>
      <c r="R256" s="24">
        <f t="shared" si="70"/>
        <v>23683445.082</v>
      </c>
      <c r="S256" s="11">
        <f t="shared" si="70"/>
        <v>5551707</v>
      </c>
      <c r="T256" s="11">
        <f t="shared" si="70"/>
        <v>2358020.06</v>
      </c>
      <c r="U256" s="11">
        <f t="shared" si="70"/>
        <v>995159</v>
      </c>
      <c r="V256" s="11">
        <f t="shared" si="70"/>
        <v>1941890</v>
      </c>
      <c r="W256" s="11">
        <f t="shared" si="70"/>
        <v>48356</v>
      </c>
      <c r="X256" s="11">
        <f t="shared" si="70"/>
        <v>2883580</v>
      </c>
      <c r="Y256" s="11">
        <f>SUM(Y3:Y255)</f>
        <v>4394031</v>
      </c>
      <c r="Z256" s="24">
        <f t="shared" si="70"/>
        <v>17696973.06</v>
      </c>
      <c r="AA256" s="24">
        <f t="shared" si="70"/>
        <v>9935494.034399997</v>
      </c>
      <c r="AB256" s="24">
        <f t="shared" si="70"/>
        <v>1540432.883</v>
      </c>
      <c r="AC256" s="24">
        <f t="shared" si="70"/>
        <v>3745840.946399998</v>
      </c>
      <c r="AD256" s="24">
        <f>SUM(AD3:AD255)</f>
        <v>1797724.9840000009</v>
      </c>
      <c r="AE256" s="24">
        <f aca="true" t="shared" si="71" ref="AE256:AJ256">SUM(AE3:AE255)</f>
        <v>3112161.2600000002</v>
      </c>
      <c r="AF256" s="24">
        <f t="shared" si="71"/>
        <v>180745.72</v>
      </c>
      <c r="AG256" s="24">
        <f t="shared" si="71"/>
        <v>3262931.38</v>
      </c>
      <c r="AH256" s="24">
        <f t="shared" si="71"/>
        <v>9088281.364799997</v>
      </c>
      <c r="AI256" s="24">
        <f t="shared" si="71"/>
        <v>6152500</v>
      </c>
      <c r="AJ256" s="24">
        <f t="shared" si="71"/>
        <v>114078816.82339999</v>
      </c>
    </row>
    <row r="257" spans="32:34" ht="15">
      <c r="AF257" s="12"/>
      <c r="AG257" s="29"/>
      <c r="AH257" s="29"/>
    </row>
    <row r="258" spans="32:34" ht="15">
      <c r="AF258" s="12"/>
      <c r="AG258" s="29"/>
      <c r="AH258" s="29"/>
    </row>
  </sheetData>
  <sheetProtection/>
  <autoFilter ref="A2:C2"/>
  <mergeCells count="12">
    <mergeCell ref="AC1:AC2"/>
    <mergeCell ref="AD1:AD2"/>
    <mergeCell ref="AI1:AI2"/>
    <mergeCell ref="AE1:AG1"/>
    <mergeCell ref="AJ1:AJ2"/>
    <mergeCell ref="AH1:AH2"/>
    <mergeCell ref="E1:P1"/>
    <mergeCell ref="Q1:Q2"/>
    <mergeCell ref="R1:R2"/>
    <mergeCell ref="S1:Z1"/>
    <mergeCell ref="AA1:AA2"/>
    <mergeCell ref="AB1:AB2"/>
  </mergeCells>
  <printOptions/>
  <pageMargins left="0.7" right="0.7" top="0.75" bottom="0.75" header="0.3" footer="0.3"/>
  <pageSetup horizontalDpi="600" verticalDpi="600" orientation="portrait" paperSize="9" r:id="rId1"/>
  <ignoredErrors>
    <ignoredError sqref="Z13:Z14 Z24 Z91 Z109 Z115 Z118:Z120 Z184:Z186 Z189 Z228 Z236 Z249" formula="1"/>
    <ignoredError sqref="Z190 Z1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5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4.7109375" style="0" customWidth="1"/>
    <col min="2" max="2" width="9.57421875" style="0" customWidth="1"/>
    <col min="3" max="3" width="9.00390625" style="0" customWidth="1"/>
    <col min="4" max="4" width="11.8515625" style="0" customWidth="1"/>
    <col min="5" max="5" width="13.140625" style="0" customWidth="1"/>
    <col min="6" max="6" width="12.57421875" style="0" customWidth="1"/>
    <col min="7" max="7" width="11.8515625" style="0" customWidth="1"/>
    <col min="8" max="8" width="12.28125" style="0" customWidth="1"/>
    <col min="9" max="9" width="13.28125" style="0" customWidth="1"/>
    <col min="10" max="10" width="14.57421875" style="0" customWidth="1"/>
    <col min="11" max="11" width="10.57421875" style="0" customWidth="1"/>
    <col min="12" max="12" width="10.00390625" style="0" customWidth="1"/>
    <col min="13" max="13" width="9.57421875" style="0" customWidth="1"/>
    <col min="14" max="14" width="13.140625" style="0" customWidth="1"/>
    <col min="15" max="15" width="13.140625" style="31" customWidth="1"/>
    <col min="16" max="16" width="12.57421875" style="14" customWidth="1"/>
    <col min="17" max="17" width="12.28125" style="14" customWidth="1"/>
    <col min="18" max="18" width="11.57421875" style="14" bestFit="1" customWidth="1"/>
    <col min="19" max="19" width="10.57421875" style="0" bestFit="1" customWidth="1"/>
    <col min="20" max="21" width="9.57421875" style="0" bestFit="1" customWidth="1"/>
    <col min="22" max="22" width="11.140625" style="0" customWidth="1"/>
    <col min="24" max="24" width="10.57421875" style="0" customWidth="1"/>
    <col min="25" max="25" width="10.57421875" style="14" bestFit="1" customWidth="1"/>
    <col min="26" max="26" width="11.7109375" style="14" customWidth="1"/>
    <col min="27" max="27" width="11.140625" style="14" customWidth="1"/>
    <col min="28" max="28" width="12.57421875" style="14" customWidth="1"/>
    <col min="29" max="29" width="15.00390625" style="14" customWidth="1"/>
    <col min="30" max="31" width="14.57421875" style="0" customWidth="1"/>
    <col min="32" max="33" width="14.57421875" style="14" customWidth="1"/>
    <col min="34" max="34" width="15.7109375" style="14" customWidth="1"/>
    <col min="35" max="35" width="12.57421875" style="14" customWidth="1"/>
  </cols>
  <sheetData>
    <row r="1" spans="5:35" ht="15" customHeight="1">
      <c r="E1" s="47" t="s">
        <v>144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 t="s">
        <v>158</v>
      </c>
      <c r="R1" s="48" t="s">
        <v>160</v>
      </c>
      <c r="S1" s="49" t="s">
        <v>161</v>
      </c>
      <c r="T1" s="50"/>
      <c r="U1" s="50"/>
      <c r="V1" s="50"/>
      <c r="W1" s="50"/>
      <c r="X1" s="50"/>
      <c r="Y1" s="51"/>
      <c r="Z1" s="52" t="s">
        <v>171</v>
      </c>
      <c r="AA1" s="52" t="s">
        <v>172</v>
      </c>
      <c r="AB1" s="47" t="s">
        <v>173</v>
      </c>
      <c r="AC1" s="47" t="s">
        <v>174</v>
      </c>
      <c r="AD1" s="47" t="s">
        <v>175</v>
      </c>
      <c r="AE1" s="47"/>
      <c r="AF1" s="47"/>
      <c r="AG1" s="52" t="s">
        <v>181</v>
      </c>
      <c r="AH1" s="47" t="s">
        <v>176</v>
      </c>
      <c r="AI1" s="47" t="s">
        <v>180</v>
      </c>
    </row>
    <row r="2" spans="1:35" ht="90.75" customHeight="1">
      <c r="A2" s="1" t="s">
        <v>141</v>
      </c>
      <c r="B2" s="2" t="s">
        <v>142</v>
      </c>
      <c r="C2" s="2" t="s">
        <v>143</v>
      </c>
      <c r="D2" s="17" t="s">
        <v>146</v>
      </c>
      <c r="E2" s="7" t="s">
        <v>145</v>
      </c>
      <c r="F2" s="7" t="s">
        <v>149</v>
      </c>
      <c r="G2" s="7" t="s">
        <v>150</v>
      </c>
      <c r="H2" s="7" t="s">
        <v>151</v>
      </c>
      <c r="I2" s="13" t="s">
        <v>152</v>
      </c>
      <c r="J2" s="7" t="s">
        <v>153</v>
      </c>
      <c r="K2" s="7" t="s">
        <v>154</v>
      </c>
      <c r="L2" s="7" t="s">
        <v>155</v>
      </c>
      <c r="M2" s="7" t="s">
        <v>156</v>
      </c>
      <c r="N2" s="7" t="s">
        <v>164</v>
      </c>
      <c r="O2" s="15" t="s">
        <v>159</v>
      </c>
      <c r="P2" s="23" t="s">
        <v>157</v>
      </c>
      <c r="Q2" s="48"/>
      <c r="R2" s="48"/>
      <c r="S2" s="7" t="s">
        <v>163</v>
      </c>
      <c r="T2" s="7" t="s">
        <v>165</v>
      </c>
      <c r="U2" s="7" t="s">
        <v>166</v>
      </c>
      <c r="V2" s="7" t="s">
        <v>167</v>
      </c>
      <c r="W2" s="7" t="s">
        <v>168</v>
      </c>
      <c r="X2" s="7" t="s">
        <v>169</v>
      </c>
      <c r="Y2" s="25" t="s">
        <v>170</v>
      </c>
      <c r="Z2" s="53"/>
      <c r="AA2" s="53"/>
      <c r="AB2" s="47"/>
      <c r="AC2" s="47"/>
      <c r="AD2" s="27" t="s">
        <v>178</v>
      </c>
      <c r="AE2" s="27" t="s">
        <v>177</v>
      </c>
      <c r="AF2" s="30" t="s">
        <v>179</v>
      </c>
      <c r="AG2" s="53"/>
      <c r="AH2" s="47"/>
      <c r="AI2" s="47"/>
    </row>
    <row r="3" spans="1:35" ht="15.75">
      <c r="A3" s="3" t="s">
        <v>0</v>
      </c>
      <c r="B3" s="4" t="s">
        <v>1</v>
      </c>
      <c r="C3" s="3" t="s">
        <v>2</v>
      </c>
      <c r="D3" s="18">
        <v>3219.2</v>
      </c>
      <c r="E3" s="11">
        <f>D3*0.36*12</f>
        <v>13906.943999999998</v>
      </c>
      <c r="F3" s="11">
        <f>D3*1.19*12</f>
        <v>45970.17599999999</v>
      </c>
      <c r="G3" s="11">
        <f>D3*1.18*12</f>
        <v>45583.871999999996</v>
      </c>
      <c r="H3" s="11">
        <f>D3*0.26*12</f>
        <v>10043.903999999999</v>
      </c>
      <c r="I3" s="11">
        <f>D3*0.06*12</f>
        <v>2317.8239999999996</v>
      </c>
      <c r="J3" s="11">
        <f>D3*0.18*12</f>
        <v>6953.471999999999</v>
      </c>
      <c r="K3" s="11">
        <f>80*8*4+80*6*2</f>
        <v>3520</v>
      </c>
      <c r="L3" s="8">
        <f>144.73*3</f>
        <v>434.18999999999994</v>
      </c>
      <c r="M3" s="8"/>
      <c r="N3" s="8"/>
      <c r="O3" s="16">
        <f aca="true" t="shared" si="0" ref="O3:O66">D3*0.55*5</f>
        <v>8852.8</v>
      </c>
      <c r="P3" s="24">
        <f>SUM(E3:O3)</f>
        <v>137583.18199999997</v>
      </c>
      <c r="Q3" s="24">
        <f>D3*1.27*5+D3*1.34*7</f>
        <v>50638.016</v>
      </c>
      <c r="R3" s="26">
        <f aca="true" t="shared" si="1" ref="R3:R66">D3*3.18*5+D3*3*7</f>
        <v>118788.47999999998</v>
      </c>
      <c r="S3" s="11"/>
      <c r="T3" s="11"/>
      <c r="U3" s="11"/>
      <c r="V3" s="8"/>
      <c r="W3" s="11">
        <f>5*220</f>
        <v>1100</v>
      </c>
      <c r="X3" s="11"/>
      <c r="Y3" s="24">
        <f>SUM(S3:X3)</f>
        <v>1100</v>
      </c>
      <c r="Z3" s="24">
        <f aca="true" t="shared" si="2" ref="Z3:Z66">D3*1.29*12</f>
        <v>49833.216</v>
      </c>
      <c r="AA3" s="24"/>
      <c r="AB3" s="24">
        <f>D3*0.49*12</f>
        <v>18928.896</v>
      </c>
      <c r="AC3" s="26">
        <f aca="true" t="shared" si="3" ref="AC3:AC66">D3*0.4*7+0.48*5</f>
        <v>9016.16</v>
      </c>
      <c r="AD3" s="8"/>
      <c r="AE3" s="8"/>
      <c r="AF3" s="26"/>
      <c r="AG3" s="24">
        <f aca="true" t="shared" si="4" ref="AG3:AG66">D3*1.18*12</f>
        <v>45583.871999999996</v>
      </c>
      <c r="AH3" s="24">
        <v>57500</v>
      </c>
      <c r="AI3" s="24">
        <f>P3+Q3+R3+Y3+Z3+AA3+AB3+AC3+AF3+AG3+AH3</f>
        <v>488971.8219999999</v>
      </c>
    </row>
    <row r="4" spans="1:35" ht="15.75">
      <c r="A4" s="3" t="s">
        <v>0</v>
      </c>
      <c r="B4" s="4" t="s">
        <v>3</v>
      </c>
      <c r="C4" s="3" t="s">
        <v>2</v>
      </c>
      <c r="D4" s="18">
        <v>973</v>
      </c>
      <c r="E4" s="11">
        <f aca="true" t="shared" si="5" ref="E4:E67">D4*0.36*12</f>
        <v>4203.36</v>
      </c>
      <c r="F4" s="11">
        <f aca="true" t="shared" si="6" ref="F4:F67">D4*1.19*12</f>
        <v>13894.439999999999</v>
      </c>
      <c r="G4" s="11">
        <f aca="true" t="shared" si="7" ref="G4:G67">D4*1.18*12</f>
        <v>13777.679999999998</v>
      </c>
      <c r="H4" s="11">
        <f aca="true" t="shared" si="8" ref="H4:H67">D4*0.26*12</f>
        <v>3035.76</v>
      </c>
      <c r="I4" s="11">
        <f aca="true" t="shared" si="9" ref="I4:I67">D4*0.06*12</f>
        <v>700.56</v>
      </c>
      <c r="J4" s="11">
        <f aca="true" t="shared" si="10" ref="J4:J67">D4*0.18*12</f>
        <v>2101.68</v>
      </c>
      <c r="K4" s="11">
        <f>16*8*4+16*6*2</f>
        <v>704</v>
      </c>
      <c r="L4" s="8">
        <f>144.73*3</f>
        <v>434.18999999999994</v>
      </c>
      <c r="M4" s="8"/>
      <c r="N4" s="8"/>
      <c r="O4" s="16">
        <f t="shared" si="0"/>
        <v>2675.7500000000005</v>
      </c>
      <c r="P4" s="24">
        <f aca="true" t="shared" si="11" ref="P4:P67">SUM(E4:O4)</f>
        <v>41527.42</v>
      </c>
      <c r="Q4" s="24">
        <f>D4*1.27*5+D4*1.34*7</f>
        <v>15305.29</v>
      </c>
      <c r="R4" s="26">
        <f t="shared" si="1"/>
        <v>35903.7</v>
      </c>
      <c r="S4" s="11"/>
      <c r="T4" s="11"/>
      <c r="U4" s="11"/>
      <c r="V4" s="8"/>
      <c r="W4" s="11"/>
      <c r="X4" s="11"/>
      <c r="Y4" s="24">
        <f aca="true" t="shared" si="12" ref="Y4:Y67">SUM(S4:X4)</f>
        <v>0</v>
      </c>
      <c r="Z4" s="24">
        <f t="shared" si="2"/>
        <v>15062.04</v>
      </c>
      <c r="AA4" s="24"/>
      <c r="AB4" s="24">
        <f>D4*0.49*12</f>
        <v>5721.24</v>
      </c>
      <c r="AC4" s="26">
        <f t="shared" si="3"/>
        <v>2726.8000000000006</v>
      </c>
      <c r="AD4" s="8"/>
      <c r="AE4" s="8"/>
      <c r="AF4" s="26"/>
      <c r="AG4" s="24">
        <f t="shared" si="4"/>
        <v>13777.679999999998</v>
      </c>
      <c r="AH4" s="24">
        <v>57500</v>
      </c>
      <c r="AI4" s="24">
        <f aca="true" t="shared" si="13" ref="AI4:AI67">P4+Q4+R4+Y4+Z4+AA4+AB4+AC4+AF4+AG4+AH4</f>
        <v>187524.17</v>
      </c>
    </row>
    <row r="5" spans="1:35" s="38" customFormat="1" ht="15.75">
      <c r="A5" s="4" t="s">
        <v>4</v>
      </c>
      <c r="B5" s="4" t="s">
        <v>5</v>
      </c>
      <c r="C5" s="4" t="s">
        <v>2</v>
      </c>
      <c r="D5" s="32">
        <v>1010.1</v>
      </c>
      <c r="E5" s="33">
        <f t="shared" si="5"/>
        <v>4363.632</v>
      </c>
      <c r="F5" s="33">
        <f t="shared" si="6"/>
        <v>14424.228</v>
      </c>
      <c r="G5" s="33">
        <f t="shared" si="7"/>
        <v>14303.016</v>
      </c>
      <c r="H5" s="33">
        <f t="shared" si="8"/>
        <v>3151.5120000000006</v>
      </c>
      <c r="I5" s="33">
        <f t="shared" si="9"/>
        <v>727.272</v>
      </c>
      <c r="J5" s="33">
        <f t="shared" si="10"/>
        <v>2181.816</v>
      </c>
      <c r="K5" s="33">
        <f>16*8*4+16*6*2</f>
        <v>704</v>
      </c>
      <c r="L5" s="34">
        <f>144.73*3</f>
        <v>434.18999999999994</v>
      </c>
      <c r="M5" s="34"/>
      <c r="N5" s="34">
        <f>1001*20.77</f>
        <v>20790.77</v>
      </c>
      <c r="O5" s="35">
        <f t="shared" si="0"/>
        <v>2777.7750000000005</v>
      </c>
      <c r="P5" s="36">
        <f t="shared" si="11"/>
        <v>63858.211</v>
      </c>
      <c r="Q5" s="36"/>
      <c r="R5" s="37">
        <f t="shared" si="1"/>
        <v>37272.69</v>
      </c>
      <c r="S5" s="33"/>
      <c r="T5" s="33"/>
      <c r="U5" s="33"/>
      <c r="V5" s="34"/>
      <c r="W5" s="33"/>
      <c r="X5" s="33"/>
      <c r="Y5" s="36">
        <f t="shared" si="12"/>
        <v>0</v>
      </c>
      <c r="Z5" s="36">
        <f t="shared" si="2"/>
        <v>15636.348</v>
      </c>
      <c r="AA5" s="36"/>
      <c r="AB5" s="36"/>
      <c r="AC5" s="37">
        <f t="shared" si="3"/>
        <v>2830.6800000000003</v>
      </c>
      <c r="AD5" s="34"/>
      <c r="AE5" s="34"/>
      <c r="AF5" s="37"/>
      <c r="AG5" s="36">
        <f t="shared" si="4"/>
        <v>14303.016</v>
      </c>
      <c r="AH5" s="36">
        <v>57500</v>
      </c>
      <c r="AI5" s="36">
        <f t="shared" si="13"/>
        <v>191400.945</v>
      </c>
    </row>
    <row r="6" spans="1:35" s="38" customFormat="1" ht="15.75">
      <c r="A6" s="4" t="s">
        <v>4</v>
      </c>
      <c r="B6" s="4" t="s">
        <v>6</v>
      </c>
      <c r="C6" s="4" t="s">
        <v>2</v>
      </c>
      <c r="D6" s="32">
        <v>1026.5</v>
      </c>
      <c r="E6" s="33">
        <f t="shared" si="5"/>
        <v>4434.48</v>
      </c>
      <c r="F6" s="33">
        <f t="shared" si="6"/>
        <v>14658.419999999998</v>
      </c>
      <c r="G6" s="33">
        <f t="shared" si="7"/>
        <v>14535.24</v>
      </c>
      <c r="H6" s="33">
        <f t="shared" si="8"/>
        <v>3202.68</v>
      </c>
      <c r="I6" s="33">
        <f t="shared" si="9"/>
        <v>739.0799999999999</v>
      </c>
      <c r="J6" s="33">
        <f t="shared" si="10"/>
        <v>2217.24</v>
      </c>
      <c r="K6" s="33">
        <f>8*6*2</f>
        <v>96</v>
      </c>
      <c r="L6" s="34">
        <f>144.73*14</f>
        <v>2026.2199999999998</v>
      </c>
      <c r="M6" s="34"/>
      <c r="N6" s="34">
        <f>1001*20.77</f>
        <v>20790.77</v>
      </c>
      <c r="O6" s="35">
        <f t="shared" si="0"/>
        <v>2822.875</v>
      </c>
      <c r="P6" s="36">
        <f t="shared" si="11"/>
        <v>65523.005000000005</v>
      </c>
      <c r="Q6" s="36"/>
      <c r="R6" s="37">
        <f t="shared" si="1"/>
        <v>37877.85</v>
      </c>
      <c r="S6" s="33"/>
      <c r="T6" s="33"/>
      <c r="U6" s="33"/>
      <c r="V6" s="34"/>
      <c r="W6" s="33"/>
      <c r="X6" s="33"/>
      <c r="Y6" s="36">
        <f t="shared" si="12"/>
        <v>0</v>
      </c>
      <c r="Z6" s="36">
        <f t="shared" si="2"/>
        <v>15890.22</v>
      </c>
      <c r="AA6" s="36"/>
      <c r="AB6" s="36"/>
      <c r="AC6" s="37">
        <f t="shared" si="3"/>
        <v>2876.6000000000004</v>
      </c>
      <c r="AD6" s="34"/>
      <c r="AE6" s="34"/>
      <c r="AF6" s="37"/>
      <c r="AG6" s="36">
        <f t="shared" si="4"/>
        <v>14535.24</v>
      </c>
      <c r="AH6" s="36">
        <v>57500</v>
      </c>
      <c r="AI6" s="36">
        <f t="shared" si="13"/>
        <v>194202.915</v>
      </c>
    </row>
    <row r="7" spans="1:35" s="38" customFormat="1" ht="15.75">
      <c r="A7" s="4" t="s">
        <v>4</v>
      </c>
      <c r="B7" s="4" t="s">
        <v>7</v>
      </c>
      <c r="C7" s="4" t="s">
        <v>2</v>
      </c>
      <c r="D7" s="32">
        <v>2668</v>
      </c>
      <c r="E7" s="33">
        <f t="shared" si="5"/>
        <v>11525.76</v>
      </c>
      <c r="F7" s="33">
        <f t="shared" si="6"/>
        <v>38099.04</v>
      </c>
      <c r="G7" s="33">
        <f t="shared" si="7"/>
        <v>37778.88</v>
      </c>
      <c r="H7" s="33">
        <f t="shared" si="8"/>
        <v>8324.16</v>
      </c>
      <c r="I7" s="33">
        <f t="shared" si="9"/>
        <v>1920.9599999999998</v>
      </c>
      <c r="J7" s="33">
        <f t="shared" si="10"/>
        <v>5762.88</v>
      </c>
      <c r="K7" s="33">
        <f>34*8*4+34*6*2</f>
        <v>1496</v>
      </c>
      <c r="L7" s="34">
        <f>144.78*2</f>
        <v>289.56</v>
      </c>
      <c r="M7" s="34"/>
      <c r="N7" s="34"/>
      <c r="O7" s="35">
        <f t="shared" si="0"/>
        <v>7337</v>
      </c>
      <c r="P7" s="36">
        <f t="shared" si="11"/>
        <v>112534.24</v>
      </c>
      <c r="Q7" s="36">
        <f>D7*1.27*5+D7*1.34*7</f>
        <v>41967.64</v>
      </c>
      <c r="R7" s="37">
        <f t="shared" si="1"/>
        <v>98449.2</v>
      </c>
      <c r="S7" s="33"/>
      <c r="T7" s="33"/>
      <c r="U7" s="33"/>
      <c r="V7" s="34"/>
      <c r="W7" s="33"/>
      <c r="X7" s="33"/>
      <c r="Y7" s="36">
        <f t="shared" si="12"/>
        <v>0</v>
      </c>
      <c r="Z7" s="36">
        <f t="shared" si="2"/>
        <v>41300.64</v>
      </c>
      <c r="AA7" s="36"/>
      <c r="AB7" s="36">
        <f aca="true" t="shared" si="14" ref="AB7:AB25">D7*0.49*12</f>
        <v>15687.84</v>
      </c>
      <c r="AC7" s="37">
        <f t="shared" si="3"/>
        <v>7472.8</v>
      </c>
      <c r="AD7" s="34"/>
      <c r="AE7" s="34"/>
      <c r="AF7" s="37"/>
      <c r="AG7" s="36">
        <f t="shared" si="4"/>
        <v>37778.88</v>
      </c>
      <c r="AH7" s="36">
        <v>57500</v>
      </c>
      <c r="AI7" s="36">
        <f t="shared" si="13"/>
        <v>412691.24000000005</v>
      </c>
    </row>
    <row r="8" spans="1:35" s="38" customFormat="1" ht="15.75">
      <c r="A8" s="4" t="s">
        <v>4</v>
      </c>
      <c r="B8" s="4" t="s">
        <v>8</v>
      </c>
      <c r="C8" s="4" t="s">
        <v>2</v>
      </c>
      <c r="D8" s="32">
        <v>2702.2</v>
      </c>
      <c r="E8" s="33">
        <f t="shared" si="5"/>
        <v>11673.503999999999</v>
      </c>
      <c r="F8" s="33">
        <f t="shared" si="6"/>
        <v>38587.416</v>
      </c>
      <c r="G8" s="33">
        <f t="shared" si="7"/>
        <v>38263.151999999995</v>
      </c>
      <c r="H8" s="33">
        <f t="shared" si="8"/>
        <v>8430.864</v>
      </c>
      <c r="I8" s="33">
        <f t="shared" si="9"/>
        <v>1945.5839999999998</v>
      </c>
      <c r="J8" s="33">
        <f t="shared" si="10"/>
        <v>5836.7519999999995</v>
      </c>
      <c r="K8" s="33">
        <f>34*8*4+34*6*2</f>
        <v>1496</v>
      </c>
      <c r="L8" s="34">
        <f>144.73*3</f>
        <v>434.18999999999994</v>
      </c>
      <c r="M8" s="34"/>
      <c r="N8" s="34"/>
      <c r="O8" s="35">
        <f t="shared" si="0"/>
        <v>7431.05</v>
      </c>
      <c r="P8" s="36">
        <f t="shared" si="11"/>
        <v>114098.51199999999</v>
      </c>
      <c r="Q8" s="36">
        <f>D8*1.27*5+D8*1.34*7</f>
        <v>42505.606</v>
      </c>
      <c r="R8" s="37">
        <f t="shared" si="1"/>
        <v>99711.18</v>
      </c>
      <c r="S8" s="33"/>
      <c r="T8" s="33"/>
      <c r="U8" s="33"/>
      <c r="V8" s="34"/>
      <c r="W8" s="33"/>
      <c r="X8" s="33"/>
      <c r="Y8" s="36">
        <f t="shared" si="12"/>
        <v>0</v>
      </c>
      <c r="Z8" s="36">
        <f t="shared" si="2"/>
        <v>41830.056</v>
      </c>
      <c r="AA8" s="36"/>
      <c r="AB8" s="36">
        <f t="shared" si="14"/>
        <v>15888.936</v>
      </c>
      <c r="AC8" s="37">
        <f t="shared" si="3"/>
        <v>7568.559999999999</v>
      </c>
      <c r="AD8" s="34"/>
      <c r="AE8" s="34"/>
      <c r="AF8" s="37"/>
      <c r="AG8" s="36">
        <f t="shared" si="4"/>
        <v>38263.151999999995</v>
      </c>
      <c r="AH8" s="36">
        <v>57500</v>
      </c>
      <c r="AI8" s="36">
        <f t="shared" si="13"/>
        <v>417366.002</v>
      </c>
    </row>
    <row r="9" spans="1:35" s="38" customFormat="1" ht="15.75">
      <c r="A9" s="4" t="s">
        <v>4</v>
      </c>
      <c r="B9" s="4" t="s">
        <v>9</v>
      </c>
      <c r="C9" s="4" t="s">
        <v>2</v>
      </c>
      <c r="D9" s="32">
        <v>2739.1</v>
      </c>
      <c r="E9" s="33">
        <f t="shared" si="5"/>
        <v>11832.911999999998</v>
      </c>
      <c r="F9" s="33">
        <f t="shared" si="6"/>
        <v>39114.348</v>
      </c>
      <c r="G9" s="33">
        <f t="shared" si="7"/>
        <v>38785.656</v>
      </c>
      <c r="H9" s="33">
        <f t="shared" si="8"/>
        <v>8545.992</v>
      </c>
      <c r="I9" s="33">
        <f t="shared" si="9"/>
        <v>1972.1519999999996</v>
      </c>
      <c r="J9" s="33">
        <f t="shared" si="10"/>
        <v>5916.455999999999</v>
      </c>
      <c r="K9" s="33">
        <f>56*8*4+56*2*6</f>
        <v>2464</v>
      </c>
      <c r="L9" s="34">
        <f>144.73*66</f>
        <v>9552.179999999998</v>
      </c>
      <c r="M9" s="34"/>
      <c r="N9" s="34"/>
      <c r="O9" s="35">
        <f t="shared" si="0"/>
        <v>7532.525000000001</v>
      </c>
      <c r="P9" s="36">
        <f t="shared" si="11"/>
        <v>125716.22099999999</v>
      </c>
      <c r="Q9" s="36">
        <f>D9*1.27*5+D9*1.34*7</f>
        <v>43086.043000000005</v>
      </c>
      <c r="R9" s="37">
        <f t="shared" si="1"/>
        <v>101072.79</v>
      </c>
      <c r="S9" s="33"/>
      <c r="T9" s="33"/>
      <c r="U9" s="33"/>
      <c r="V9" s="34"/>
      <c r="W9" s="33"/>
      <c r="X9" s="33">
        <v>107000</v>
      </c>
      <c r="Y9" s="36">
        <f t="shared" si="12"/>
        <v>107000</v>
      </c>
      <c r="Z9" s="36">
        <f t="shared" si="2"/>
        <v>42401.268</v>
      </c>
      <c r="AA9" s="36"/>
      <c r="AB9" s="36">
        <f t="shared" si="14"/>
        <v>16105.908</v>
      </c>
      <c r="AC9" s="37">
        <f t="shared" si="3"/>
        <v>7671.88</v>
      </c>
      <c r="AD9" s="34"/>
      <c r="AE9" s="34"/>
      <c r="AF9" s="37"/>
      <c r="AG9" s="36">
        <f t="shared" si="4"/>
        <v>38785.656</v>
      </c>
      <c r="AH9" s="36">
        <v>57500</v>
      </c>
      <c r="AI9" s="36">
        <f t="shared" si="13"/>
        <v>539339.7660000001</v>
      </c>
    </row>
    <row r="10" spans="1:35" s="38" customFormat="1" ht="15.75">
      <c r="A10" s="4" t="s">
        <v>4</v>
      </c>
      <c r="B10" s="4" t="s">
        <v>10</v>
      </c>
      <c r="C10" s="4" t="s">
        <v>2</v>
      </c>
      <c r="D10" s="32">
        <v>1544.3</v>
      </c>
      <c r="E10" s="33">
        <f t="shared" si="5"/>
        <v>6671.376</v>
      </c>
      <c r="F10" s="33">
        <f t="shared" si="6"/>
        <v>22052.604</v>
      </c>
      <c r="G10" s="33">
        <f t="shared" si="7"/>
        <v>21867.288</v>
      </c>
      <c r="H10" s="33">
        <f t="shared" si="8"/>
        <v>4818.216</v>
      </c>
      <c r="I10" s="33">
        <f t="shared" si="9"/>
        <v>1111.8959999999997</v>
      </c>
      <c r="J10" s="33">
        <f t="shared" si="10"/>
        <v>3335.688</v>
      </c>
      <c r="K10" s="33">
        <f>36*8*4+36*6*2</f>
        <v>1584</v>
      </c>
      <c r="L10" s="34">
        <f>44*144.73</f>
        <v>6368.12</v>
      </c>
      <c r="M10" s="34"/>
      <c r="N10" s="34"/>
      <c r="O10" s="35">
        <f t="shared" si="0"/>
        <v>4246.825</v>
      </c>
      <c r="P10" s="36">
        <f t="shared" si="11"/>
        <v>72056.01299999999</v>
      </c>
      <c r="Q10" s="36"/>
      <c r="R10" s="37">
        <f t="shared" si="1"/>
        <v>56984.67</v>
      </c>
      <c r="S10" s="33"/>
      <c r="T10" s="33"/>
      <c r="U10" s="33"/>
      <c r="V10" s="34"/>
      <c r="W10" s="33">
        <f>5*220</f>
        <v>1100</v>
      </c>
      <c r="X10" s="33">
        <v>6000</v>
      </c>
      <c r="Y10" s="36">
        <f t="shared" si="12"/>
        <v>7100</v>
      </c>
      <c r="Z10" s="36">
        <f t="shared" si="2"/>
        <v>23905.764</v>
      </c>
      <c r="AA10" s="36"/>
      <c r="AB10" s="36">
        <f t="shared" si="14"/>
        <v>9080.484</v>
      </c>
      <c r="AC10" s="37">
        <f t="shared" si="3"/>
        <v>4326.44</v>
      </c>
      <c r="AD10" s="34"/>
      <c r="AE10" s="34"/>
      <c r="AF10" s="37"/>
      <c r="AG10" s="36">
        <f t="shared" si="4"/>
        <v>21867.288</v>
      </c>
      <c r="AH10" s="36">
        <v>57500</v>
      </c>
      <c r="AI10" s="36">
        <f t="shared" si="13"/>
        <v>252820.65899999999</v>
      </c>
    </row>
    <row r="11" spans="1:35" s="38" customFormat="1" ht="15.75">
      <c r="A11" s="4" t="s">
        <v>4</v>
      </c>
      <c r="B11" s="4" t="s">
        <v>11</v>
      </c>
      <c r="C11" s="4" t="s">
        <v>2</v>
      </c>
      <c r="D11" s="32">
        <v>1028.7</v>
      </c>
      <c r="E11" s="33">
        <f t="shared" si="5"/>
        <v>4443.984</v>
      </c>
      <c r="F11" s="33">
        <f t="shared" si="6"/>
        <v>14689.836</v>
      </c>
      <c r="G11" s="33">
        <f t="shared" si="7"/>
        <v>14566.392</v>
      </c>
      <c r="H11" s="33">
        <f t="shared" si="8"/>
        <v>3209.544000000001</v>
      </c>
      <c r="I11" s="33">
        <f t="shared" si="9"/>
        <v>740.664</v>
      </c>
      <c r="J11" s="33">
        <f t="shared" si="10"/>
        <v>2221.992</v>
      </c>
      <c r="K11" s="33">
        <f>8*8*4+8*6*2</f>
        <v>352</v>
      </c>
      <c r="L11" s="34"/>
      <c r="M11" s="34"/>
      <c r="N11" s="34"/>
      <c r="O11" s="35">
        <f t="shared" si="0"/>
        <v>2828.925</v>
      </c>
      <c r="P11" s="36">
        <f t="shared" si="11"/>
        <v>43053.337</v>
      </c>
      <c r="Q11" s="36"/>
      <c r="R11" s="37">
        <f t="shared" si="1"/>
        <v>37959.030000000006</v>
      </c>
      <c r="S11" s="33"/>
      <c r="T11" s="33"/>
      <c r="U11" s="33"/>
      <c r="V11" s="34"/>
      <c r="W11" s="33"/>
      <c r="X11" s="33"/>
      <c r="Y11" s="36">
        <f t="shared" si="12"/>
        <v>0</v>
      </c>
      <c r="Z11" s="36">
        <f t="shared" si="2"/>
        <v>15924.276000000002</v>
      </c>
      <c r="AA11" s="36"/>
      <c r="AB11" s="36">
        <f t="shared" si="14"/>
        <v>6048.755999999999</v>
      </c>
      <c r="AC11" s="37">
        <f t="shared" si="3"/>
        <v>2882.76</v>
      </c>
      <c r="AD11" s="34"/>
      <c r="AE11" s="34"/>
      <c r="AF11" s="37"/>
      <c r="AG11" s="36">
        <f t="shared" si="4"/>
        <v>14566.392</v>
      </c>
      <c r="AH11" s="36"/>
      <c r="AI11" s="36">
        <f t="shared" si="13"/>
        <v>120434.55099999998</v>
      </c>
    </row>
    <row r="12" spans="1:35" s="38" customFormat="1" ht="15.75">
      <c r="A12" s="4" t="s">
        <v>4</v>
      </c>
      <c r="B12" s="4" t="s">
        <v>12</v>
      </c>
      <c r="C12" s="4" t="s">
        <v>2</v>
      </c>
      <c r="D12" s="32">
        <v>1479.3</v>
      </c>
      <c r="E12" s="33">
        <f t="shared" si="5"/>
        <v>6390.576</v>
      </c>
      <c r="F12" s="33">
        <f t="shared" si="6"/>
        <v>21124.404</v>
      </c>
      <c r="G12" s="33">
        <f t="shared" si="7"/>
        <v>20946.888</v>
      </c>
      <c r="H12" s="33">
        <f t="shared" si="8"/>
        <v>4615.416</v>
      </c>
      <c r="I12" s="33">
        <f t="shared" si="9"/>
        <v>1065.096</v>
      </c>
      <c r="J12" s="33">
        <f t="shared" si="10"/>
        <v>3195.288</v>
      </c>
      <c r="K12" s="33">
        <f>36*8*4+36*6*2</f>
        <v>1584</v>
      </c>
      <c r="L12" s="34">
        <f>44*144.73</f>
        <v>6368.12</v>
      </c>
      <c r="M12" s="34"/>
      <c r="N12" s="34">
        <f>850*20.77</f>
        <v>17654.5</v>
      </c>
      <c r="O12" s="35">
        <f t="shared" si="0"/>
        <v>4068.075</v>
      </c>
      <c r="P12" s="36">
        <f t="shared" si="11"/>
        <v>87012.363</v>
      </c>
      <c r="Q12" s="36">
        <f aca="true" t="shared" si="15" ref="Q12:Q25">D12*1.27*5+D12*1.34*7</f>
        <v>23269.389000000003</v>
      </c>
      <c r="R12" s="37">
        <f t="shared" si="1"/>
        <v>54586.17</v>
      </c>
      <c r="S12" s="33"/>
      <c r="T12" s="33"/>
      <c r="U12" s="33"/>
      <c r="V12" s="34"/>
      <c r="W12" s="33">
        <f>9*220</f>
        <v>1980</v>
      </c>
      <c r="X12" s="33"/>
      <c r="Y12" s="36">
        <f t="shared" si="12"/>
        <v>1980</v>
      </c>
      <c r="Z12" s="36">
        <f t="shared" si="2"/>
        <v>22899.564</v>
      </c>
      <c r="AA12" s="36"/>
      <c r="AB12" s="36">
        <f t="shared" si="14"/>
        <v>8698.284</v>
      </c>
      <c r="AC12" s="37">
        <f t="shared" si="3"/>
        <v>4144.44</v>
      </c>
      <c r="AD12" s="34"/>
      <c r="AE12" s="34"/>
      <c r="AF12" s="37"/>
      <c r="AG12" s="36">
        <f t="shared" si="4"/>
        <v>20946.888</v>
      </c>
      <c r="AH12" s="36">
        <v>57500</v>
      </c>
      <c r="AI12" s="36">
        <f t="shared" si="13"/>
        <v>281037.098</v>
      </c>
    </row>
    <row r="13" spans="1:35" s="38" customFormat="1" ht="15.75">
      <c r="A13" s="4" t="s">
        <v>4</v>
      </c>
      <c r="B13" s="4" t="s">
        <v>13</v>
      </c>
      <c r="C13" s="4" t="s">
        <v>2</v>
      </c>
      <c r="D13" s="32">
        <v>3536.9</v>
      </c>
      <c r="E13" s="33">
        <f t="shared" si="5"/>
        <v>15279.408</v>
      </c>
      <c r="F13" s="33">
        <f t="shared" si="6"/>
        <v>50506.932</v>
      </c>
      <c r="G13" s="33">
        <f t="shared" si="7"/>
        <v>50082.50399999999</v>
      </c>
      <c r="H13" s="33">
        <f t="shared" si="8"/>
        <v>11035.128</v>
      </c>
      <c r="I13" s="33">
        <f t="shared" si="9"/>
        <v>2546.568</v>
      </c>
      <c r="J13" s="33">
        <f t="shared" si="10"/>
        <v>7639.704</v>
      </c>
      <c r="K13" s="33">
        <f>80*6*2</f>
        <v>960</v>
      </c>
      <c r="L13" s="34">
        <f>144.73*3</f>
        <v>434.18999999999994</v>
      </c>
      <c r="M13" s="34"/>
      <c r="N13" s="34"/>
      <c r="O13" s="35">
        <f t="shared" si="0"/>
        <v>9726.475000000002</v>
      </c>
      <c r="P13" s="36">
        <f t="shared" si="11"/>
        <v>148210.90899999999</v>
      </c>
      <c r="Q13" s="36">
        <f t="shared" si="15"/>
        <v>55635.437000000005</v>
      </c>
      <c r="R13" s="37">
        <f t="shared" si="1"/>
        <v>130511.61000000002</v>
      </c>
      <c r="S13" s="33"/>
      <c r="T13" s="33"/>
      <c r="U13" s="33"/>
      <c r="V13" s="34"/>
      <c r="W13" s="33">
        <f>2.4*220</f>
        <v>528</v>
      </c>
      <c r="X13" s="33"/>
      <c r="Y13" s="36">
        <f t="shared" si="12"/>
        <v>528</v>
      </c>
      <c r="Z13" s="36">
        <f t="shared" si="2"/>
        <v>54751.21200000001</v>
      </c>
      <c r="AA13" s="36"/>
      <c r="AB13" s="36">
        <f t="shared" si="14"/>
        <v>20796.971999999998</v>
      </c>
      <c r="AC13" s="37">
        <f t="shared" si="3"/>
        <v>9905.720000000001</v>
      </c>
      <c r="AD13" s="34"/>
      <c r="AE13" s="34"/>
      <c r="AF13" s="37"/>
      <c r="AG13" s="36">
        <f t="shared" si="4"/>
        <v>50082.50399999999</v>
      </c>
      <c r="AH13" s="36">
        <v>57500</v>
      </c>
      <c r="AI13" s="36">
        <f t="shared" si="13"/>
        <v>527922.3640000001</v>
      </c>
    </row>
    <row r="14" spans="1:35" s="38" customFormat="1" ht="15.75">
      <c r="A14" s="4" t="s">
        <v>4</v>
      </c>
      <c r="B14" s="4" t="s">
        <v>14</v>
      </c>
      <c r="C14" s="4" t="s">
        <v>2</v>
      </c>
      <c r="D14" s="32">
        <v>3551.6</v>
      </c>
      <c r="E14" s="33">
        <f t="shared" si="5"/>
        <v>15342.912</v>
      </c>
      <c r="F14" s="33">
        <f t="shared" si="6"/>
        <v>50716.848</v>
      </c>
      <c r="G14" s="33">
        <f t="shared" si="7"/>
        <v>50290.656</v>
      </c>
      <c r="H14" s="33">
        <f t="shared" si="8"/>
        <v>11080.992</v>
      </c>
      <c r="I14" s="33">
        <f t="shared" si="9"/>
        <v>2557.1519999999996</v>
      </c>
      <c r="J14" s="33">
        <f t="shared" si="10"/>
        <v>7671.456</v>
      </c>
      <c r="K14" s="33">
        <f>80*8+80*6*2</f>
        <v>1600</v>
      </c>
      <c r="L14" s="34">
        <f>144.73*3</f>
        <v>434.18999999999994</v>
      </c>
      <c r="M14" s="34"/>
      <c r="N14" s="34"/>
      <c r="O14" s="35">
        <f t="shared" si="0"/>
        <v>9766.900000000001</v>
      </c>
      <c r="P14" s="36">
        <f t="shared" si="11"/>
        <v>149461.106</v>
      </c>
      <c r="Q14" s="36">
        <f t="shared" si="15"/>
        <v>55866.668000000005</v>
      </c>
      <c r="R14" s="37">
        <f t="shared" si="1"/>
        <v>131054.04</v>
      </c>
      <c r="S14" s="33">
        <f>100*120</f>
        <v>12000</v>
      </c>
      <c r="T14" s="33"/>
      <c r="U14" s="33"/>
      <c r="V14" s="34"/>
      <c r="W14" s="33"/>
      <c r="X14" s="33"/>
      <c r="Y14" s="36">
        <f t="shared" si="12"/>
        <v>12000</v>
      </c>
      <c r="Z14" s="36">
        <f t="shared" si="2"/>
        <v>54978.768000000004</v>
      </c>
      <c r="AA14" s="36"/>
      <c r="AB14" s="36">
        <f t="shared" si="14"/>
        <v>20883.408</v>
      </c>
      <c r="AC14" s="37">
        <f t="shared" si="3"/>
        <v>9946.880000000001</v>
      </c>
      <c r="AD14" s="34"/>
      <c r="AE14" s="34"/>
      <c r="AF14" s="37"/>
      <c r="AG14" s="36">
        <f t="shared" si="4"/>
        <v>50290.656</v>
      </c>
      <c r="AH14" s="36"/>
      <c r="AI14" s="36">
        <f t="shared" si="13"/>
        <v>484481.526</v>
      </c>
    </row>
    <row r="15" spans="1:35" s="38" customFormat="1" ht="15.75">
      <c r="A15" s="4" t="s">
        <v>4</v>
      </c>
      <c r="B15" s="4" t="s">
        <v>15</v>
      </c>
      <c r="C15" s="4" t="s">
        <v>2</v>
      </c>
      <c r="D15" s="32">
        <v>3540.7</v>
      </c>
      <c r="E15" s="33">
        <f t="shared" si="5"/>
        <v>15295.823999999997</v>
      </c>
      <c r="F15" s="33">
        <f t="shared" si="6"/>
        <v>50561.195999999996</v>
      </c>
      <c r="G15" s="33">
        <f t="shared" si="7"/>
        <v>50136.312</v>
      </c>
      <c r="H15" s="33">
        <f t="shared" si="8"/>
        <v>11046.984</v>
      </c>
      <c r="I15" s="33">
        <f t="shared" si="9"/>
        <v>2549.3039999999996</v>
      </c>
      <c r="J15" s="33">
        <f t="shared" si="10"/>
        <v>7647.911999999998</v>
      </c>
      <c r="K15" s="33">
        <f>80*6*2</f>
        <v>960</v>
      </c>
      <c r="L15" s="34">
        <f>90*144.73</f>
        <v>13025.699999999999</v>
      </c>
      <c r="M15" s="34"/>
      <c r="N15" s="34"/>
      <c r="O15" s="35">
        <f t="shared" si="0"/>
        <v>9736.925</v>
      </c>
      <c r="P15" s="36">
        <f t="shared" si="11"/>
        <v>160960.157</v>
      </c>
      <c r="Q15" s="36">
        <f t="shared" si="15"/>
        <v>55695.210999999996</v>
      </c>
      <c r="R15" s="37">
        <f t="shared" si="1"/>
        <v>130651.82999999999</v>
      </c>
      <c r="S15" s="33">
        <f>130*120</f>
        <v>15600</v>
      </c>
      <c r="T15" s="33"/>
      <c r="U15" s="33"/>
      <c r="V15" s="34"/>
      <c r="W15" s="33"/>
      <c r="X15" s="33"/>
      <c r="Y15" s="36">
        <f t="shared" si="12"/>
        <v>15600</v>
      </c>
      <c r="Z15" s="36">
        <f t="shared" si="2"/>
        <v>54810.03599999999</v>
      </c>
      <c r="AA15" s="36"/>
      <c r="AB15" s="36">
        <f t="shared" si="14"/>
        <v>20819.316</v>
      </c>
      <c r="AC15" s="37">
        <f t="shared" si="3"/>
        <v>9916.359999999999</v>
      </c>
      <c r="AD15" s="34"/>
      <c r="AE15" s="34"/>
      <c r="AF15" s="37"/>
      <c r="AG15" s="36">
        <f t="shared" si="4"/>
        <v>50136.312</v>
      </c>
      <c r="AH15" s="36"/>
      <c r="AI15" s="36">
        <f t="shared" si="13"/>
        <v>498589.2219999999</v>
      </c>
    </row>
    <row r="16" spans="1:35" s="38" customFormat="1" ht="15.75">
      <c r="A16" s="4" t="s">
        <v>4</v>
      </c>
      <c r="B16" s="4" t="s">
        <v>16</v>
      </c>
      <c r="C16" s="4" t="s">
        <v>2</v>
      </c>
      <c r="D16" s="32">
        <v>2728.6</v>
      </c>
      <c r="E16" s="33">
        <f t="shared" si="5"/>
        <v>11787.552</v>
      </c>
      <c r="F16" s="33">
        <f t="shared" si="6"/>
        <v>38964.407999999996</v>
      </c>
      <c r="G16" s="33">
        <f t="shared" si="7"/>
        <v>38636.975999999995</v>
      </c>
      <c r="H16" s="33">
        <f t="shared" si="8"/>
        <v>8513.232</v>
      </c>
      <c r="I16" s="33">
        <f t="shared" si="9"/>
        <v>1964.5919999999996</v>
      </c>
      <c r="J16" s="33">
        <f t="shared" si="10"/>
        <v>5893.776</v>
      </c>
      <c r="K16" s="33">
        <f>56*8+56*6*2</f>
        <v>1120</v>
      </c>
      <c r="L16" s="34">
        <f>144.73*3</f>
        <v>434.18999999999994</v>
      </c>
      <c r="M16" s="34"/>
      <c r="N16" s="34"/>
      <c r="O16" s="35">
        <f t="shared" si="0"/>
        <v>7503.65</v>
      </c>
      <c r="P16" s="36">
        <f t="shared" si="11"/>
        <v>114818.37599999999</v>
      </c>
      <c r="Q16" s="36">
        <f t="shared" si="15"/>
        <v>42920.878</v>
      </c>
      <c r="R16" s="37">
        <f t="shared" si="1"/>
        <v>100685.34</v>
      </c>
      <c r="S16" s="33"/>
      <c r="T16" s="33"/>
      <c r="U16" s="33"/>
      <c r="V16" s="34"/>
      <c r="W16" s="33"/>
      <c r="X16" s="33"/>
      <c r="Y16" s="36">
        <f t="shared" si="12"/>
        <v>0</v>
      </c>
      <c r="Z16" s="36">
        <f t="shared" si="2"/>
        <v>42238.727999999996</v>
      </c>
      <c r="AA16" s="36"/>
      <c r="AB16" s="36">
        <f t="shared" si="14"/>
        <v>16044.167999999998</v>
      </c>
      <c r="AC16" s="37">
        <f t="shared" si="3"/>
        <v>7642.48</v>
      </c>
      <c r="AD16" s="34"/>
      <c r="AE16" s="34"/>
      <c r="AF16" s="37"/>
      <c r="AG16" s="36">
        <f t="shared" si="4"/>
        <v>38636.975999999995</v>
      </c>
      <c r="AH16" s="36"/>
      <c r="AI16" s="36">
        <f t="shared" si="13"/>
        <v>362986.946</v>
      </c>
    </row>
    <row r="17" spans="1:35" s="38" customFormat="1" ht="15.75">
      <c r="A17" s="4" t="s">
        <v>4</v>
      </c>
      <c r="B17" s="4" t="s">
        <v>17</v>
      </c>
      <c r="C17" s="4" t="s">
        <v>2</v>
      </c>
      <c r="D17" s="32">
        <v>3530.6</v>
      </c>
      <c r="E17" s="33">
        <f t="shared" si="5"/>
        <v>15252.192</v>
      </c>
      <c r="F17" s="33">
        <f t="shared" si="6"/>
        <v>50416.96799999999</v>
      </c>
      <c r="G17" s="33">
        <f t="shared" si="7"/>
        <v>49993.29599999999</v>
      </c>
      <c r="H17" s="33">
        <f t="shared" si="8"/>
        <v>11015.472</v>
      </c>
      <c r="I17" s="33">
        <f t="shared" si="9"/>
        <v>2542.0319999999997</v>
      </c>
      <c r="J17" s="33">
        <f t="shared" si="10"/>
        <v>7626.096</v>
      </c>
      <c r="K17" s="33">
        <f>80*6*2</f>
        <v>960</v>
      </c>
      <c r="L17" s="34">
        <f>90*144.73</f>
        <v>13025.699999999999</v>
      </c>
      <c r="M17" s="34"/>
      <c r="N17" s="34"/>
      <c r="O17" s="35">
        <f t="shared" si="0"/>
        <v>9709.150000000001</v>
      </c>
      <c r="P17" s="36">
        <f t="shared" si="11"/>
        <v>160540.906</v>
      </c>
      <c r="Q17" s="36">
        <f t="shared" si="15"/>
        <v>55536.338</v>
      </c>
      <c r="R17" s="37">
        <f t="shared" si="1"/>
        <v>130279.14</v>
      </c>
      <c r="S17" s="33"/>
      <c r="T17" s="33">
        <f>30*135</f>
        <v>4050</v>
      </c>
      <c r="U17" s="33"/>
      <c r="V17" s="34"/>
      <c r="W17" s="33"/>
      <c r="X17" s="33">
        <v>6000</v>
      </c>
      <c r="Y17" s="36">
        <f t="shared" si="12"/>
        <v>10050</v>
      </c>
      <c r="Z17" s="36">
        <f t="shared" si="2"/>
        <v>54653.688</v>
      </c>
      <c r="AA17" s="36"/>
      <c r="AB17" s="36">
        <f t="shared" si="14"/>
        <v>20759.928</v>
      </c>
      <c r="AC17" s="37">
        <f t="shared" si="3"/>
        <v>9888.08</v>
      </c>
      <c r="AD17" s="34"/>
      <c r="AE17" s="34"/>
      <c r="AF17" s="37"/>
      <c r="AG17" s="36">
        <f t="shared" si="4"/>
        <v>49993.29599999999</v>
      </c>
      <c r="AH17" s="36">
        <v>57500</v>
      </c>
      <c r="AI17" s="36">
        <f t="shared" si="13"/>
        <v>549201.376</v>
      </c>
    </row>
    <row r="18" spans="1:35" s="38" customFormat="1" ht="15.75">
      <c r="A18" s="4" t="s">
        <v>4</v>
      </c>
      <c r="B18" s="4" t="s">
        <v>18</v>
      </c>
      <c r="C18" s="4" t="s">
        <v>2</v>
      </c>
      <c r="D18" s="32">
        <v>2592.3</v>
      </c>
      <c r="E18" s="33">
        <f t="shared" si="5"/>
        <v>11198.736</v>
      </c>
      <c r="F18" s="33">
        <f t="shared" si="6"/>
        <v>37018.044</v>
      </c>
      <c r="G18" s="33">
        <f t="shared" si="7"/>
        <v>36706.968</v>
      </c>
      <c r="H18" s="33">
        <f t="shared" si="8"/>
        <v>8087.976000000001</v>
      </c>
      <c r="I18" s="33">
        <f t="shared" si="9"/>
        <v>1866.4560000000001</v>
      </c>
      <c r="J18" s="33">
        <f t="shared" si="10"/>
        <v>5599.368</v>
      </c>
      <c r="K18" s="33">
        <f>60*8+60*6*2</f>
        <v>1200</v>
      </c>
      <c r="L18" s="34">
        <f>144.73*3</f>
        <v>434.18999999999994</v>
      </c>
      <c r="M18" s="34"/>
      <c r="N18" s="34"/>
      <c r="O18" s="35">
        <f t="shared" si="0"/>
        <v>7128.825000000002</v>
      </c>
      <c r="P18" s="36">
        <f t="shared" si="11"/>
        <v>109240.563</v>
      </c>
      <c r="Q18" s="36">
        <f t="shared" si="15"/>
        <v>40776.879</v>
      </c>
      <c r="R18" s="37">
        <f t="shared" si="1"/>
        <v>95655.87000000001</v>
      </c>
      <c r="S18" s="33"/>
      <c r="T18" s="33"/>
      <c r="U18" s="33"/>
      <c r="V18" s="34"/>
      <c r="W18" s="33"/>
      <c r="X18" s="33">
        <v>58000</v>
      </c>
      <c r="Y18" s="36">
        <f t="shared" si="12"/>
        <v>58000</v>
      </c>
      <c r="Z18" s="36">
        <f t="shared" si="2"/>
        <v>40128.804000000004</v>
      </c>
      <c r="AA18" s="36"/>
      <c r="AB18" s="36">
        <f t="shared" si="14"/>
        <v>15242.724000000002</v>
      </c>
      <c r="AC18" s="37">
        <f t="shared" si="3"/>
        <v>7260.84</v>
      </c>
      <c r="AD18" s="34"/>
      <c r="AE18" s="34"/>
      <c r="AF18" s="37"/>
      <c r="AG18" s="36">
        <f t="shared" si="4"/>
        <v>36706.968</v>
      </c>
      <c r="AH18" s="36"/>
      <c r="AI18" s="36">
        <f t="shared" si="13"/>
        <v>403012.648</v>
      </c>
    </row>
    <row r="19" spans="1:35" s="38" customFormat="1" ht="15.75">
      <c r="A19" s="4" t="s">
        <v>4</v>
      </c>
      <c r="B19" s="4" t="s">
        <v>19</v>
      </c>
      <c r="C19" s="4" t="s">
        <v>2</v>
      </c>
      <c r="D19" s="32">
        <v>3532.7</v>
      </c>
      <c r="E19" s="33">
        <f t="shared" si="5"/>
        <v>15261.264</v>
      </c>
      <c r="F19" s="33">
        <f t="shared" si="6"/>
        <v>50446.95599999999</v>
      </c>
      <c r="G19" s="33">
        <f t="shared" si="7"/>
        <v>50023.03199999999</v>
      </c>
      <c r="H19" s="33">
        <f t="shared" si="8"/>
        <v>11022.024</v>
      </c>
      <c r="I19" s="33">
        <f t="shared" si="9"/>
        <v>2543.544</v>
      </c>
      <c r="J19" s="33">
        <f t="shared" si="10"/>
        <v>7630.632</v>
      </c>
      <c r="K19" s="33">
        <f>80*8+80*6*2</f>
        <v>1600</v>
      </c>
      <c r="L19" s="34">
        <f>144.73*3</f>
        <v>434.18999999999994</v>
      </c>
      <c r="M19" s="34"/>
      <c r="N19" s="34"/>
      <c r="O19" s="35">
        <f t="shared" si="0"/>
        <v>9714.925000000001</v>
      </c>
      <c r="P19" s="36">
        <f t="shared" si="11"/>
        <v>148676.56699999998</v>
      </c>
      <c r="Q19" s="36">
        <f t="shared" si="15"/>
        <v>55569.371</v>
      </c>
      <c r="R19" s="37">
        <f t="shared" si="1"/>
        <v>130356.62999999999</v>
      </c>
      <c r="S19" s="33"/>
      <c r="T19" s="33"/>
      <c r="U19" s="33"/>
      <c r="V19" s="34"/>
      <c r="W19" s="33"/>
      <c r="X19" s="33"/>
      <c r="Y19" s="36">
        <f t="shared" si="12"/>
        <v>0</v>
      </c>
      <c r="Z19" s="36">
        <f t="shared" si="2"/>
        <v>54686.195999999996</v>
      </c>
      <c r="AA19" s="36"/>
      <c r="AB19" s="36">
        <f t="shared" si="14"/>
        <v>20772.275999999998</v>
      </c>
      <c r="AC19" s="37">
        <f t="shared" si="3"/>
        <v>9893.96</v>
      </c>
      <c r="AD19" s="34"/>
      <c r="AE19" s="34"/>
      <c r="AF19" s="37"/>
      <c r="AG19" s="36">
        <f t="shared" si="4"/>
        <v>50023.03199999999</v>
      </c>
      <c r="AH19" s="36"/>
      <c r="AI19" s="36">
        <f t="shared" si="13"/>
        <v>469978.032</v>
      </c>
    </row>
    <row r="20" spans="1:35" s="38" customFormat="1" ht="15.75">
      <c r="A20" s="4" t="s">
        <v>4</v>
      </c>
      <c r="B20" s="4" t="s">
        <v>20</v>
      </c>
      <c r="C20" s="4" t="s">
        <v>2</v>
      </c>
      <c r="D20" s="32">
        <v>2586.8</v>
      </c>
      <c r="E20" s="33">
        <f t="shared" si="5"/>
        <v>11174.976</v>
      </c>
      <c r="F20" s="33">
        <f t="shared" si="6"/>
        <v>36939.504</v>
      </c>
      <c r="G20" s="33">
        <f t="shared" si="7"/>
        <v>36629.088</v>
      </c>
      <c r="H20" s="33">
        <f t="shared" si="8"/>
        <v>8070.816000000001</v>
      </c>
      <c r="I20" s="33">
        <f t="shared" si="9"/>
        <v>1862.496</v>
      </c>
      <c r="J20" s="33">
        <f t="shared" si="10"/>
        <v>5587.488</v>
      </c>
      <c r="K20" s="33">
        <f>60*8+60*6*2</f>
        <v>1200</v>
      </c>
      <c r="L20" s="34">
        <f>144.73*3</f>
        <v>434.18999999999994</v>
      </c>
      <c r="M20" s="34"/>
      <c r="N20" s="34"/>
      <c r="O20" s="35">
        <f t="shared" si="0"/>
        <v>7113.700000000001</v>
      </c>
      <c r="P20" s="36">
        <f t="shared" si="11"/>
        <v>109012.258</v>
      </c>
      <c r="Q20" s="36">
        <f t="shared" si="15"/>
        <v>40690.364</v>
      </c>
      <c r="R20" s="37">
        <f t="shared" si="1"/>
        <v>95452.92000000001</v>
      </c>
      <c r="S20" s="33"/>
      <c r="T20" s="33"/>
      <c r="U20" s="33"/>
      <c r="V20" s="34"/>
      <c r="W20" s="33"/>
      <c r="X20" s="33"/>
      <c r="Y20" s="36">
        <f t="shared" si="12"/>
        <v>0</v>
      </c>
      <c r="Z20" s="36">
        <f t="shared" si="2"/>
        <v>40043.664000000004</v>
      </c>
      <c r="AA20" s="36"/>
      <c r="AB20" s="36">
        <f t="shared" si="14"/>
        <v>15210.384000000002</v>
      </c>
      <c r="AC20" s="37">
        <f t="shared" si="3"/>
        <v>7245.44</v>
      </c>
      <c r="AD20" s="34"/>
      <c r="AE20" s="34"/>
      <c r="AF20" s="37"/>
      <c r="AG20" s="36">
        <f t="shared" si="4"/>
        <v>36629.088</v>
      </c>
      <c r="AH20" s="36"/>
      <c r="AI20" s="36">
        <f t="shared" si="13"/>
        <v>344284.118</v>
      </c>
    </row>
    <row r="21" spans="1:35" s="38" customFormat="1" ht="15.75">
      <c r="A21" s="4" t="s">
        <v>4</v>
      </c>
      <c r="B21" s="4" t="s">
        <v>21</v>
      </c>
      <c r="C21" s="4" t="s">
        <v>2</v>
      </c>
      <c r="D21" s="32">
        <v>3576.4</v>
      </c>
      <c r="E21" s="33">
        <f t="shared" si="5"/>
        <v>15450.047999999999</v>
      </c>
      <c r="F21" s="33">
        <f t="shared" si="6"/>
        <v>51070.992</v>
      </c>
      <c r="G21" s="33">
        <f t="shared" si="7"/>
        <v>50641.824</v>
      </c>
      <c r="H21" s="33">
        <f t="shared" si="8"/>
        <v>11158.368</v>
      </c>
      <c r="I21" s="33">
        <f t="shared" si="9"/>
        <v>2575.008</v>
      </c>
      <c r="J21" s="33">
        <f t="shared" si="10"/>
        <v>7725.023999999999</v>
      </c>
      <c r="K21" s="33">
        <f>80*6*2</f>
        <v>960</v>
      </c>
      <c r="L21" s="34">
        <f>90*144.73</f>
        <v>13025.699999999999</v>
      </c>
      <c r="M21" s="34"/>
      <c r="N21" s="34"/>
      <c r="O21" s="35">
        <f t="shared" si="0"/>
        <v>9835.1</v>
      </c>
      <c r="P21" s="36">
        <f t="shared" si="11"/>
        <v>162442.064</v>
      </c>
      <c r="Q21" s="36">
        <f t="shared" si="15"/>
        <v>56256.772</v>
      </c>
      <c r="R21" s="37">
        <f t="shared" si="1"/>
        <v>131969.16000000003</v>
      </c>
      <c r="S21" s="33"/>
      <c r="T21" s="33">
        <f>300*135</f>
        <v>40500</v>
      </c>
      <c r="U21" s="33"/>
      <c r="V21" s="34"/>
      <c r="W21" s="33"/>
      <c r="X21" s="33">
        <v>6000</v>
      </c>
      <c r="Y21" s="36">
        <f t="shared" si="12"/>
        <v>46500</v>
      </c>
      <c r="Z21" s="36">
        <f t="shared" si="2"/>
        <v>55362.672000000006</v>
      </c>
      <c r="AA21" s="36"/>
      <c r="AB21" s="36">
        <f t="shared" si="14"/>
        <v>21029.232</v>
      </c>
      <c r="AC21" s="37">
        <f t="shared" si="3"/>
        <v>10016.320000000002</v>
      </c>
      <c r="AD21" s="34"/>
      <c r="AE21" s="34"/>
      <c r="AF21" s="37"/>
      <c r="AG21" s="36">
        <f t="shared" si="4"/>
        <v>50641.824</v>
      </c>
      <c r="AH21" s="36">
        <v>57500</v>
      </c>
      <c r="AI21" s="36">
        <f t="shared" si="13"/>
        <v>591718.0440000001</v>
      </c>
    </row>
    <row r="22" spans="1:35" s="38" customFormat="1" ht="15.75">
      <c r="A22" s="4" t="s">
        <v>4</v>
      </c>
      <c r="B22" s="4" t="s">
        <v>22</v>
      </c>
      <c r="C22" s="4" t="s">
        <v>2</v>
      </c>
      <c r="D22" s="32">
        <v>2554.3</v>
      </c>
      <c r="E22" s="33">
        <f t="shared" si="5"/>
        <v>11034.576000000001</v>
      </c>
      <c r="F22" s="33">
        <f t="shared" si="6"/>
        <v>36475.404</v>
      </c>
      <c r="G22" s="33">
        <f t="shared" si="7"/>
        <v>36168.888</v>
      </c>
      <c r="H22" s="33">
        <f t="shared" si="8"/>
        <v>7969.416000000001</v>
      </c>
      <c r="I22" s="33">
        <f t="shared" si="9"/>
        <v>1839.096</v>
      </c>
      <c r="J22" s="33">
        <f t="shared" si="10"/>
        <v>5517.2880000000005</v>
      </c>
      <c r="K22" s="33">
        <f>60*8+60*6*2</f>
        <v>1200</v>
      </c>
      <c r="L22" s="34">
        <f>144.73*3</f>
        <v>434.18999999999994</v>
      </c>
      <c r="M22" s="34"/>
      <c r="N22" s="34"/>
      <c r="O22" s="35">
        <f t="shared" si="0"/>
        <v>7024.325000000001</v>
      </c>
      <c r="P22" s="36">
        <f t="shared" si="11"/>
        <v>107663.183</v>
      </c>
      <c r="Q22" s="36">
        <f t="shared" si="15"/>
        <v>40179.139</v>
      </c>
      <c r="R22" s="37">
        <f t="shared" si="1"/>
        <v>94253.67000000001</v>
      </c>
      <c r="S22" s="33"/>
      <c r="T22" s="33"/>
      <c r="U22" s="33"/>
      <c r="V22" s="34"/>
      <c r="W22" s="33"/>
      <c r="X22" s="33"/>
      <c r="Y22" s="36">
        <f t="shared" si="12"/>
        <v>0</v>
      </c>
      <c r="Z22" s="36">
        <f t="shared" si="2"/>
        <v>39540.564000000006</v>
      </c>
      <c r="AA22" s="36"/>
      <c r="AB22" s="36">
        <f t="shared" si="14"/>
        <v>15019.284</v>
      </c>
      <c r="AC22" s="37">
        <f t="shared" si="3"/>
        <v>7154.4400000000005</v>
      </c>
      <c r="AD22" s="34"/>
      <c r="AE22" s="34"/>
      <c r="AF22" s="37"/>
      <c r="AG22" s="36">
        <f t="shared" si="4"/>
        <v>36168.888</v>
      </c>
      <c r="AH22" s="36"/>
      <c r="AI22" s="36">
        <f t="shared" si="13"/>
        <v>339979.168</v>
      </c>
    </row>
    <row r="23" spans="1:35" s="38" customFormat="1" ht="15.75">
      <c r="A23" s="4" t="s">
        <v>4</v>
      </c>
      <c r="B23" s="4" t="s">
        <v>23</v>
      </c>
      <c r="C23" s="4" t="s">
        <v>2</v>
      </c>
      <c r="D23" s="32">
        <v>3490.8</v>
      </c>
      <c r="E23" s="33">
        <f t="shared" si="5"/>
        <v>15080.256000000001</v>
      </c>
      <c r="F23" s="33">
        <f t="shared" si="6"/>
        <v>49848.623999999996</v>
      </c>
      <c r="G23" s="33">
        <f t="shared" si="7"/>
        <v>49429.728</v>
      </c>
      <c r="H23" s="33">
        <f t="shared" si="8"/>
        <v>10891.296</v>
      </c>
      <c r="I23" s="33">
        <f t="shared" si="9"/>
        <v>2513.376</v>
      </c>
      <c r="J23" s="33">
        <f t="shared" si="10"/>
        <v>7540.128000000001</v>
      </c>
      <c r="K23" s="33">
        <f>80*8+80*6*2</f>
        <v>1600</v>
      </c>
      <c r="L23" s="34">
        <f>144.73*3</f>
        <v>434.18999999999994</v>
      </c>
      <c r="M23" s="34"/>
      <c r="N23" s="34"/>
      <c r="O23" s="35">
        <f t="shared" si="0"/>
        <v>9599.7</v>
      </c>
      <c r="P23" s="36">
        <f t="shared" si="11"/>
        <v>146937.29800000004</v>
      </c>
      <c r="Q23" s="36">
        <f t="shared" si="15"/>
        <v>54910.28400000001</v>
      </c>
      <c r="R23" s="37">
        <f t="shared" si="1"/>
        <v>128810.52000000002</v>
      </c>
      <c r="S23" s="33"/>
      <c r="T23" s="33"/>
      <c r="U23" s="33"/>
      <c r="V23" s="34"/>
      <c r="W23" s="33"/>
      <c r="X23" s="33">
        <v>14000</v>
      </c>
      <c r="Y23" s="36">
        <f t="shared" si="12"/>
        <v>14000</v>
      </c>
      <c r="Z23" s="36">
        <f t="shared" si="2"/>
        <v>54037.584</v>
      </c>
      <c r="AA23" s="36"/>
      <c r="AB23" s="36">
        <f t="shared" si="14"/>
        <v>20525.904</v>
      </c>
      <c r="AC23" s="37">
        <f t="shared" si="3"/>
        <v>9776.640000000001</v>
      </c>
      <c r="AD23" s="34"/>
      <c r="AE23" s="34"/>
      <c r="AF23" s="37"/>
      <c r="AG23" s="36">
        <f t="shared" si="4"/>
        <v>49429.728</v>
      </c>
      <c r="AH23" s="36"/>
      <c r="AI23" s="36">
        <f t="shared" si="13"/>
        <v>478427.9580000001</v>
      </c>
    </row>
    <row r="24" spans="1:35" s="38" customFormat="1" ht="15.75">
      <c r="A24" s="4" t="s">
        <v>4</v>
      </c>
      <c r="B24" s="4" t="s">
        <v>24</v>
      </c>
      <c r="C24" s="4" t="s">
        <v>2</v>
      </c>
      <c r="D24" s="32">
        <v>2520.2</v>
      </c>
      <c r="E24" s="33">
        <f t="shared" si="5"/>
        <v>10887.264</v>
      </c>
      <c r="F24" s="33">
        <f t="shared" si="6"/>
        <v>35988.45599999999</v>
      </c>
      <c r="G24" s="33">
        <f t="shared" si="7"/>
        <v>35686.032</v>
      </c>
      <c r="H24" s="33">
        <f t="shared" si="8"/>
        <v>7863.023999999999</v>
      </c>
      <c r="I24" s="33">
        <f t="shared" si="9"/>
        <v>1814.5439999999999</v>
      </c>
      <c r="J24" s="33">
        <f t="shared" si="10"/>
        <v>5443.632</v>
      </c>
      <c r="K24" s="33">
        <f>60*8+60*6*2</f>
        <v>1200</v>
      </c>
      <c r="L24" s="34">
        <f>144.73*3</f>
        <v>434.18999999999994</v>
      </c>
      <c r="M24" s="34"/>
      <c r="N24" s="34"/>
      <c r="O24" s="35">
        <f t="shared" si="0"/>
        <v>6930.549999999999</v>
      </c>
      <c r="P24" s="36">
        <f t="shared" si="11"/>
        <v>106247.69199999998</v>
      </c>
      <c r="Q24" s="36">
        <f t="shared" si="15"/>
        <v>39642.746</v>
      </c>
      <c r="R24" s="37">
        <f t="shared" si="1"/>
        <v>92995.38</v>
      </c>
      <c r="S24" s="33"/>
      <c r="T24" s="33"/>
      <c r="U24" s="33"/>
      <c r="V24" s="34"/>
      <c r="W24" s="33"/>
      <c r="X24" s="33"/>
      <c r="Y24" s="36">
        <f t="shared" si="12"/>
        <v>0</v>
      </c>
      <c r="Z24" s="36">
        <f t="shared" si="2"/>
        <v>39012.695999999996</v>
      </c>
      <c r="AA24" s="36"/>
      <c r="AB24" s="36">
        <f t="shared" si="14"/>
        <v>14818.775999999998</v>
      </c>
      <c r="AC24" s="37">
        <f t="shared" si="3"/>
        <v>7058.959999999999</v>
      </c>
      <c r="AD24" s="34"/>
      <c r="AE24" s="34"/>
      <c r="AF24" s="37"/>
      <c r="AG24" s="36">
        <f t="shared" si="4"/>
        <v>35686.032</v>
      </c>
      <c r="AH24" s="36">
        <v>57500</v>
      </c>
      <c r="AI24" s="36">
        <f t="shared" si="13"/>
        <v>392962.282</v>
      </c>
    </row>
    <row r="25" spans="1:35" s="38" customFormat="1" ht="15.75">
      <c r="A25" s="4" t="s">
        <v>4</v>
      </c>
      <c r="B25" s="4" t="s">
        <v>25</v>
      </c>
      <c r="C25" s="4" t="s">
        <v>2</v>
      </c>
      <c r="D25" s="32">
        <v>1275.5</v>
      </c>
      <c r="E25" s="33">
        <f t="shared" si="5"/>
        <v>5510.16</v>
      </c>
      <c r="F25" s="33">
        <f t="shared" si="6"/>
        <v>18214.14</v>
      </c>
      <c r="G25" s="33">
        <f t="shared" si="7"/>
        <v>18061.079999999998</v>
      </c>
      <c r="H25" s="33">
        <f t="shared" si="8"/>
        <v>3979.56</v>
      </c>
      <c r="I25" s="33">
        <f t="shared" si="9"/>
        <v>918.36</v>
      </c>
      <c r="J25" s="33">
        <f t="shared" si="10"/>
        <v>2755.08</v>
      </c>
      <c r="K25" s="33">
        <f>32*8*4+32*6*2</f>
        <v>1408</v>
      </c>
      <c r="L25" s="34"/>
      <c r="M25" s="34"/>
      <c r="N25" s="34"/>
      <c r="O25" s="35">
        <f t="shared" si="0"/>
        <v>3507.6250000000005</v>
      </c>
      <c r="P25" s="36">
        <f t="shared" si="11"/>
        <v>54354.005</v>
      </c>
      <c r="Q25" s="36">
        <f t="shared" si="15"/>
        <v>20063.615</v>
      </c>
      <c r="R25" s="37">
        <f t="shared" si="1"/>
        <v>47065.95</v>
      </c>
      <c r="S25" s="33"/>
      <c r="T25" s="33"/>
      <c r="U25" s="33"/>
      <c r="V25" s="34"/>
      <c r="W25" s="33"/>
      <c r="X25" s="33"/>
      <c r="Y25" s="36">
        <f t="shared" si="12"/>
        <v>0</v>
      </c>
      <c r="Z25" s="36">
        <f t="shared" si="2"/>
        <v>19744.739999999998</v>
      </c>
      <c r="AA25" s="36"/>
      <c r="AB25" s="36">
        <f t="shared" si="14"/>
        <v>7499.9400000000005</v>
      </c>
      <c r="AC25" s="37">
        <f t="shared" si="3"/>
        <v>3573.8000000000006</v>
      </c>
      <c r="AD25" s="34"/>
      <c r="AE25" s="34"/>
      <c r="AF25" s="37"/>
      <c r="AG25" s="36">
        <f t="shared" si="4"/>
        <v>18061.079999999998</v>
      </c>
      <c r="AH25" s="36"/>
      <c r="AI25" s="36">
        <f t="shared" si="13"/>
        <v>170363.12999999998</v>
      </c>
    </row>
    <row r="26" spans="1:35" s="38" customFormat="1" ht="15.75">
      <c r="A26" s="4" t="s">
        <v>4</v>
      </c>
      <c r="B26" s="4" t="s">
        <v>26</v>
      </c>
      <c r="C26" s="4" t="s">
        <v>2</v>
      </c>
      <c r="D26" s="32">
        <v>1162.3</v>
      </c>
      <c r="E26" s="33">
        <f t="shared" si="5"/>
        <v>5021.1359999999995</v>
      </c>
      <c r="F26" s="33">
        <f t="shared" si="6"/>
        <v>16597.644</v>
      </c>
      <c r="G26" s="33">
        <f t="shared" si="7"/>
        <v>16458.167999999998</v>
      </c>
      <c r="H26" s="33">
        <f t="shared" si="8"/>
        <v>3626.3759999999997</v>
      </c>
      <c r="I26" s="33">
        <f t="shared" si="9"/>
        <v>836.856</v>
      </c>
      <c r="J26" s="33">
        <f t="shared" si="10"/>
        <v>2510.5679999999998</v>
      </c>
      <c r="K26" s="33">
        <f>18*8*4+18*6*2</f>
        <v>792</v>
      </c>
      <c r="L26" s="34"/>
      <c r="M26" s="34"/>
      <c r="N26" s="34"/>
      <c r="O26" s="35">
        <f t="shared" si="0"/>
        <v>3196.325</v>
      </c>
      <c r="P26" s="36">
        <f t="shared" si="11"/>
        <v>49039.07299999999</v>
      </c>
      <c r="Q26" s="36"/>
      <c r="R26" s="37">
        <f t="shared" si="1"/>
        <v>42888.869999999995</v>
      </c>
      <c r="S26" s="33"/>
      <c r="T26" s="33"/>
      <c r="U26" s="33">
        <v>1160</v>
      </c>
      <c r="V26" s="33">
        <f>198*150</f>
        <v>29700</v>
      </c>
      <c r="W26" s="33"/>
      <c r="X26" s="33"/>
      <c r="Y26" s="36">
        <f t="shared" si="12"/>
        <v>30860</v>
      </c>
      <c r="Z26" s="36">
        <f t="shared" si="2"/>
        <v>17992.404</v>
      </c>
      <c r="AA26" s="36"/>
      <c r="AB26" s="36"/>
      <c r="AC26" s="37">
        <f t="shared" si="3"/>
        <v>3256.84</v>
      </c>
      <c r="AD26" s="34"/>
      <c r="AE26" s="34"/>
      <c r="AF26" s="37"/>
      <c r="AG26" s="36">
        <f t="shared" si="4"/>
        <v>16458.167999999998</v>
      </c>
      <c r="AH26" s="36"/>
      <c r="AI26" s="36">
        <f t="shared" si="13"/>
        <v>160495.35499999998</v>
      </c>
    </row>
    <row r="27" spans="1:35" s="38" customFormat="1" ht="15.75">
      <c r="A27" s="4" t="s">
        <v>4</v>
      </c>
      <c r="B27" s="4" t="s">
        <v>27</v>
      </c>
      <c r="C27" s="4" t="s">
        <v>2</v>
      </c>
      <c r="D27" s="32">
        <v>939.8</v>
      </c>
      <c r="E27" s="33">
        <f t="shared" si="5"/>
        <v>4059.9359999999997</v>
      </c>
      <c r="F27" s="33">
        <f t="shared" si="6"/>
        <v>13420.343999999997</v>
      </c>
      <c r="G27" s="33">
        <f t="shared" si="7"/>
        <v>13307.568</v>
      </c>
      <c r="H27" s="33">
        <f t="shared" si="8"/>
        <v>2932.176</v>
      </c>
      <c r="I27" s="33">
        <f t="shared" si="9"/>
        <v>676.656</v>
      </c>
      <c r="J27" s="33">
        <f t="shared" si="10"/>
        <v>2029.9679999999998</v>
      </c>
      <c r="K27" s="33">
        <f>24*8*4+24*6*2</f>
        <v>1056</v>
      </c>
      <c r="L27" s="34">
        <f>144.73*30</f>
        <v>4341.9</v>
      </c>
      <c r="M27" s="34"/>
      <c r="N27" s="34"/>
      <c r="O27" s="35">
        <f t="shared" si="0"/>
        <v>2584.45</v>
      </c>
      <c r="P27" s="36">
        <f t="shared" si="11"/>
        <v>44408.998</v>
      </c>
      <c r="Q27" s="36"/>
      <c r="R27" s="37">
        <f t="shared" si="1"/>
        <v>34678.619999999995</v>
      </c>
      <c r="S27" s="33"/>
      <c r="T27" s="33"/>
      <c r="U27" s="33"/>
      <c r="V27" s="33"/>
      <c r="W27" s="33">
        <f>3*220</f>
        <v>660</v>
      </c>
      <c r="X27" s="33"/>
      <c r="Y27" s="36">
        <f t="shared" si="12"/>
        <v>660</v>
      </c>
      <c r="Z27" s="36">
        <f t="shared" si="2"/>
        <v>14548.104</v>
      </c>
      <c r="AA27" s="36"/>
      <c r="AB27" s="36">
        <f>D27*0.49*12</f>
        <v>5526.023999999999</v>
      </c>
      <c r="AC27" s="37">
        <f t="shared" si="3"/>
        <v>2633.84</v>
      </c>
      <c r="AD27" s="34"/>
      <c r="AE27" s="34"/>
      <c r="AF27" s="37"/>
      <c r="AG27" s="36">
        <f t="shared" si="4"/>
        <v>13307.568</v>
      </c>
      <c r="AH27" s="36"/>
      <c r="AI27" s="36">
        <f t="shared" si="13"/>
        <v>115763.15399999998</v>
      </c>
    </row>
    <row r="28" spans="1:35" s="38" customFormat="1" ht="15.75">
      <c r="A28" s="4" t="s">
        <v>4</v>
      </c>
      <c r="B28" s="4" t="s">
        <v>28</v>
      </c>
      <c r="C28" s="4" t="s">
        <v>2</v>
      </c>
      <c r="D28" s="32">
        <v>3546.1</v>
      </c>
      <c r="E28" s="33">
        <f t="shared" si="5"/>
        <v>15319.152</v>
      </c>
      <c r="F28" s="33">
        <f t="shared" si="6"/>
        <v>50638.30799999999</v>
      </c>
      <c r="G28" s="33">
        <f t="shared" si="7"/>
        <v>50212.77599999999</v>
      </c>
      <c r="H28" s="33">
        <f t="shared" si="8"/>
        <v>11063.832</v>
      </c>
      <c r="I28" s="33">
        <f t="shared" si="9"/>
        <v>2553.192</v>
      </c>
      <c r="J28" s="33">
        <f t="shared" si="10"/>
        <v>7659.576</v>
      </c>
      <c r="K28" s="33">
        <f>80*6*2</f>
        <v>960</v>
      </c>
      <c r="L28" s="34">
        <f>144.73*3</f>
        <v>434.18999999999994</v>
      </c>
      <c r="M28" s="34"/>
      <c r="N28" s="34"/>
      <c r="O28" s="35">
        <f t="shared" si="0"/>
        <v>9751.775</v>
      </c>
      <c r="P28" s="36">
        <f t="shared" si="11"/>
        <v>148592.80099999995</v>
      </c>
      <c r="Q28" s="36">
        <f>D28*1.27*5+D28*1.34*7</f>
        <v>55780.153000000006</v>
      </c>
      <c r="R28" s="37">
        <f t="shared" si="1"/>
        <v>130851.09</v>
      </c>
      <c r="S28" s="33"/>
      <c r="T28" s="33"/>
      <c r="U28" s="33"/>
      <c r="V28" s="33"/>
      <c r="W28" s="33"/>
      <c r="X28" s="33"/>
      <c r="Y28" s="36">
        <f t="shared" si="12"/>
        <v>0</v>
      </c>
      <c r="Z28" s="36">
        <f t="shared" si="2"/>
        <v>54893.628</v>
      </c>
      <c r="AA28" s="36"/>
      <c r="AB28" s="36">
        <f>D28*0.49*12</f>
        <v>20851.068</v>
      </c>
      <c r="AC28" s="37">
        <f t="shared" si="3"/>
        <v>9931.48</v>
      </c>
      <c r="AD28" s="34"/>
      <c r="AE28" s="34"/>
      <c r="AF28" s="37"/>
      <c r="AG28" s="36">
        <f t="shared" si="4"/>
        <v>50212.77599999999</v>
      </c>
      <c r="AH28" s="36">
        <v>57500</v>
      </c>
      <c r="AI28" s="36">
        <f t="shared" si="13"/>
        <v>528612.996</v>
      </c>
    </row>
    <row r="29" spans="1:35" s="38" customFormat="1" ht="15.75">
      <c r="A29" s="4" t="s">
        <v>4</v>
      </c>
      <c r="B29" s="4" t="s">
        <v>3</v>
      </c>
      <c r="C29" s="4" t="s">
        <v>2</v>
      </c>
      <c r="D29" s="32">
        <v>596.4</v>
      </c>
      <c r="E29" s="33">
        <f t="shared" si="5"/>
        <v>2576.448</v>
      </c>
      <c r="F29" s="33">
        <f t="shared" si="6"/>
        <v>8516.591999999999</v>
      </c>
      <c r="G29" s="33">
        <f t="shared" si="7"/>
        <v>8445.024</v>
      </c>
      <c r="H29" s="33">
        <f t="shared" si="8"/>
        <v>1860.768</v>
      </c>
      <c r="I29" s="33">
        <f t="shared" si="9"/>
        <v>429.408</v>
      </c>
      <c r="J29" s="33">
        <f t="shared" si="10"/>
        <v>1288.224</v>
      </c>
      <c r="K29" s="33">
        <f>12*4*8+12*6+12*6</f>
        <v>528</v>
      </c>
      <c r="L29" s="34">
        <f>144.73*18</f>
        <v>2605.14</v>
      </c>
      <c r="M29" s="34"/>
      <c r="N29" s="34">
        <f>596*20.77</f>
        <v>12378.92</v>
      </c>
      <c r="O29" s="35">
        <f t="shared" si="0"/>
        <v>1640.1000000000001</v>
      </c>
      <c r="P29" s="36">
        <f t="shared" si="11"/>
        <v>40268.623999999996</v>
      </c>
      <c r="Q29" s="36"/>
      <c r="R29" s="37">
        <f t="shared" si="1"/>
        <v>22007.159999999996</v>
      </c>
      <c r="S29" s="33"/>
      <c r="T29" s="33"/>
      <c r="U29" s="33"/>
      <c r="V29" s="33">
        <f>114*150</f>
        <v>17100</v>
      </c>
      <c r="W29" s="33"/>
      <c r="X29" s="33"/>
      <c r="Y29" s="36">
        <f t="shared" si="12"/>
        <v>17100</v>
      </c>
      <c r="Z29" s="36">
        <f t="shared" si="2"/>
        <v>9232.272</v>
      </c>
      <c r="AA29" s="36"/>
      <c r="AB29" s="36"/>
      <c r="AC29" s="37">
        <f t="shared" si="3"/>
        <v>1672.3200000000002</v>
      </c>
      <c r="AD29" s="34"/>
      <c r="AE29" s="34"/>
      <c r="AF29" s="37"/>
      <c r="AG29" s="36">
        <f t="shared" si="4"/>
        <v>8445.024</v>
      </c>
      <c r="AH29" s="36">
        <v>57500</v>
      </c>
      <c r="AI29" s="36">
        <f t="shared" si="13"/>
        <v>156225.4</v>
      </c>
    </row>
    <row r="30" spans="1:35" s="38" customFormat="1" ht="15.75">
      <c r="A30" s="4" t="s">
        <v>4</v>
      </c>
      <c r="B30" s="4" t="s">
        <v>29</v>
      </c>
      <c r="C30" s="4" t="s">
        <v>2</v>
      </c>
      <c r="D30" s="32">
        <v>984.7</v>
      </c>
      <c r="E30" s="33">
        <f t="shared" si="5"/>
        <v>4253.904</v>
      </c>
      <c r="F30" s="33">
        <f t="shared" si="6"/>
        <v>14061.516</v>
      </c>
      <c r="G30" s="33">
        <f t="shared" si="7"/>
        <v>13943.351999999999</v>
      </c>
      <c r="H30" s="33">
        <f t="shared" si="8"/>
        <v>3072.2640000000006</v>
      </c>
      <c r="I30" s="33">
        <f t="shared" si="9"/>
        <v>708.984</v>
      </c>
      <c r="J30" s="33">
        <f t="shared" si="10"/>
        <v>2126.952</v>
      </c>
      <c r="K30" s="33">
        <f>18*6*2</f>
        <v>216</v>
      </c>
      <c r="L30" s="34">
        <f>22*144.73</f>
        <v>3184.06</v>
      </c>
      <c r="M30" s="34"/>
      <c r="N30" s="34">
        <f>719*20.77</f>
        <v>14933.63</v>
      </c>
      <c r="O30" s="35">
        <f t="shared" si="0"/>
        <v>2707.925</v>
      </c>
      <c r="P30" s="36">
        <f t="shared" si="11"/>
        <v>59208.58699999999</v>
      </c>
      <c r="Q30" s="36"/>
      <c r="R30" s="37">
        <f t="shared" si="1"/>
        <v>36335.43000000001</v>
      </c>
      <c r="S30" s="33">
        <v>91000</v>
      </c>
      <c r="T30" s="33"/>
      <c r="U30" s="33"/>
      <c r="V30" s="33"/>
      <c r="W30" s="33"/>
      <c r="X30" s="33"/>
      <c r="Y30" s="36">
        <f t="shared" si="12"/>
        <v>91000</v>
      </c>
      <c r="Z30" s="36">
        <f t="shared" si="2"/>
        <v>15243.156000000003</v>
      </c>
      <c r="AA30" s="36"/>
      <c r="AB30" s="36"/>
      <c r="AC30" s="37">
        <f t="shared" si="3"/>
        <v>2759.5600000000004</v>
      </c>
      <c r="AD30" s="34"/>
      <c r="AE30" s="34"/>
      <c r="AF30" s="37"/>
      <c r="AG30" s="36">
        <f t="shared" si="4"/>
        <v>13943.351999999999</v>
      </c>
      <c r="AH30" s="36">
        <v>57500</v>
      </c>
      <c r="AI30" s="36">
        <f t="shared" si="13"/>
        <v>275990.085</v>
      </c>
    </row>
    <row r="31" spans="1:35" s="38" customFormat="1" ht="15.75">
      <c r="A31" s="4" t="s">
        <v>30</v>
      </c>
      <c r="B31" s="4" t="s">
        <v>31</v>
      </c>
      <c r="C31" s="4" t="s">
        <v>2</v>
      </c>
      <c r="D31" s="39">
        <v>2794.4</v>
      </c>
      <c r="E31" s="33">
        <f t="shared" si="5"/>
        <v>12071.808</v>
      </c>
      <c r="F31" s="33">
        <f t="shared" si="6"/>
        <v>39904.032</v>
      </c>
      <c r="G31" s="33">
        <f t="shared" si="7"/>
        <v>39568.704</v>
      </c>
      <c r="H31" s="33">
        <f t="shared" si="8"/>
        <v>8718.528000000002</v>
      </c>
      <c r="I31" s="33">
        <f t="shared" si="9"/>
        <v>2011.9679999999998</v>
      </c>
      <c r="J31" s="33">
        <f t="shared" si="10"/>
        <v>6035.904</v>
      </c>
      <c r="K31" s="33">
        <f>60*6*2</f>
        <v>720</v>
      </c>
      <c r="L31" s="34">
        <f>144.73*70</f>
        <v>10131.099999999999</v>
      </c>
      <c r="M31" s="34"/>
      <c r="N31" s="34"/>
      <c r="O31" s="35">
        <f t="shared" si="0"/>
        <v>7684.6</v>
      </c>
      <c r="P31" s="36">
        <f t="shared" si="11"/>
        <v>126846.644</v>
      </c>
      <c r="Q31" s="36">
        <f>D31*1.27*5+D31*1.34*7</f>
        <v>43955.91200000001</v>
      </c>
      <c r="R31" s="37">
        <f t="shared" si="1"/>
        <v>103113.36000000002</v>
      </c>
      <c r="S31" s="33"/>
      <c r="T31" s="33"/>
      <c r="U31" s="33"/>
      <c r="V31" s="33"/>
      <c r="W31" s="33"/>
      <c r="X31" s="33"/>
      <c r="Y31" s="36">
        <f t="shared" si="12"/>
        <v>0</v>
      </c>
      <c r="Z31" s="36">
        <f t="shared" si="2"/>
        <v>43257.312000000005</v>
      </c>
      <c r="AA31" s="36"/>
      <c r="AB31" s="36">
        <f aca="true" t="shared" si="16" ref="AB31:AB94">D31*0.49*12</f>
        <v>16431.072</v>
      </c>
      <c r="AC31" s="37">
        <f t="shared" si="3"/>
        <v>7826.719999999999</v>
      </c>
      <c r="AD31" s="34"/>
      <c r="AE31" s="34"/>
      <c r="AF31" s="37"/>
      <c r="AG31" s="36">
        <f t="shared" si="4"/>
        <v>39568.704</v>
      </c>
      <c r="AH31" s="36"/>
      <c r="AI31" s="36">
        <f t="shared" si="13"/>
        <v>380999.72399999993</v>
      </c>
    </row>
    <row r="32" spans="1:35" ht="15.75">
      <c r="A32" s="3" t="s">
        <v>30</v>
      </c>
      <c r="B32" s="4" t="s">
        <v>32</v>
      </c>
      <c r="C32" s="3" t="s">
        <v>2</v>
      </c>
      <c r="D32" s="19">
        <v>4357.9</v>
      </c>
      <c r="E32" s="11">
        <f t="shared" si="5"/>
        <v>18826.127999999997</v>
      </c>
      <c r="F32" s="11">
        <f t="shared" si="6"/>
        <v>62230.81199999999</v>
      </c>
      <c r="G32" s="11">
        <f t="shared" si="7"/>
        <v>61707.86399999999</v>
      </c>
      <c r="H32" s="11">
        <f t="shared" si="8"/>
        <v>13596.647999999997</v>
      </c>
      <c r="I32" s="11">
        <f t="shared" si="9"/>
        <v>3137.688</v>
      </c>
      <c r="J32" s="11">
        <f t="shared" si="10"/>
        <v>9413.063999999998</v>
      </c>
      <c r="K32" s="11">
        <f>88*6*2</f>
        <v>1056</v>
      </c>
      <c r="L32" s="8">
        <f>144.73*100</f>
        <v>14472.999999999998</v>
      </c>
      <c r="M32" s="8"/>
      <c r="N32" s="8"/>
      <c r="O32" s="16">
        <f t="shared" si="0"/>
        <v>11984.224999999999</v>
      </c>
      <c r="P32" s="24">
        <f t="shared" si="11"/>
        <v>196425.42899999997</v>
      </c>
      <c r="Q32" s="24">
        <f>D32*1.27*5+D32*1.34*7</f>
        <v>68549.76699999999</v>
      </c>
      <c r="R32" s="26">
        <f t="shared" si="1"/>
        <v>160806.51</v>
      </c>
      <c r="S32" s="11"/>
      <c r="T32" s="11"/>
      <c r="U32" s="11"/>
      <c r="V32" s="11"/>
      <c r="W32" s="11"/>
      <c r="X32" s="11"/>
      <c r="Y32" s="24">
        <f t="shared" si="12"/>
        <v>0</v>
      </c>
      <c r="Z32" s="24">
        <f t="shared" si="2"/>
        <v>67460.292</v>
      </c>
      <c r="AA32" s="24"/>
      <c r="AB32" s="24">
        <f t="shared" si="16"/>
        <v>25624.451999999997</v>
      </c>
      <c r="AC32" s="26">
        <f t="shared" si="3"/>
        <v>12204.519999999999</v>
      </c>
      <c r="AD32" s="8">
        <v>28237.66</v>
      </c>
      <c r="AE32" s="8">
        <v>1737.94</v>
      </c>
      <c r="AF32" s="26"/>
      <c r="AG32" s="24">
        <f t="shared" si="4"/>
        <v>61707.86399999999</v>
      </c>
      <c r="AH32" s="24"/>
      <c r="AI32" s="24">
        <f t="shared" si="13"/>
        <v>592778.8339999999</v>
      </c>
    </row>
    <row r="33" spans="1:35" ht="15.75">
      <c r="A33" s="3" t="s">
        <v>30</v>
      </c>
      <c r="B33" s="4" t="s">
        <v>6</v>
      </c>
      <c r="C33" s="3" t="s">
        <v>2</v>
      </c>
      <c r="D33" s="19">
        <v>2652</v>
      </c>
      <c r="E33" s="11">
        <f t="shared" si="5"/>
        <v>11456.64</v>
      </c>
      <c r="F33" s="11">
        <f t="shared" si="6"/>
        <v>37870.56</v>
      </c>
      <c r="G33" s="11">
        <f t="shared" si="7"/>
        <v>37552.31999999999</v>
      </c>
      <c r="H33" s="11">
        <f t="shared" si="8"/>
        <v>8274.24</v>
      </c>
      <c r="I33" s="11">
        <f t="shared" si="9"/>
        <v>1909.44</v>
      </c>
      <c r="J33" s="11">
        <f t="shared" si="10"/>
        <v>5728.32</v>
      </c>
      <c r="K33" s="11">
        <f>58*6*2</f>
        <v>696</v>
      </c>
      <c r="L33" s="8">
        <f>144.73*68</f>
        <v>9841.64</v>
      </c>
      <c r="M33" s="8"/>
      <c r="N33" s="8"/>
      <c r="O33" s="16">
        <f t="shared" si="0"/>
        <v>7293.000000000001</v>
      </c>
      <c r="P33" s="24">
        <f t="shared" si="11"/>
        <v>120622.15999999999</v>
      </c>
      <c r="Q33" s="24">
        <f>D33*1.27*5+D33*1.34*7</f>
        <v>41715.96000000001</v>
      </c>
      <c r="R33" s="26">
        <f t="shared" si="1"/>
        <v>97858.8</v>
      </c>
      <c r="S33" s="11"/>
      <c r="T33" s="11"/>
      <c r="U33" s="11"/>
      <c r="V33" s="11"/>
      <c r="W33" s="11"/>
      <c r="X33" s="11"/>
      <c r="Y33" s="24">
        <f t="shared" si="12"/>
        <v>0</v>
      </c>
      <c r="Z33" s="24">
        <f t="shared" si="2"/>
        <v>41052.96</v>
      </c>
      <c r="AA33" s="24"/>
      <c r="AB33" s="24">
        <f t="shared" si="16"/>
        <v>15593.76</v>
      </c>
      <c r="AC33" s="26">
        <f t="shared" si="3"/>
        <v>7427.999999999999</v>
      </c>
      <c r="AD33" s="8"/>
      <c r="AE33" s="8"/>
      <c r="AF33" s="26"/>
      <c r="AG33" s="24">
        <f t="shared" si="4"/>
        <v>37552.31999999999</v>
      </c>
      <c r="AH33" s="24"/>
      <c r="AI33" s="24">
        <f t="shared" si="13"/>
        <v>361823.96</v>
      </c>
    </row>
    <row r="34" spans="1:35" ht="15.75">
      <c r="A34" s="3" t="s">
        <v>33</v>
      </c>
      <c r="B34" s="4" t="s">
        <v>34</v>
      </c>
      <c r="C34" s="3" t="s">
        <v>2</v>
      </c>
      <c r="D34" s="18">
        <v>1023.3</v>
      </c>
      <c r="E34" s="11">
        <f t="shared" si="5"/>
        <v>4420.656</v>
      </c>
      <c r="F34" s="11">
        <f t="shared" si="6"/>
        <v>14612.723999999998</v>
      </c>
      <c r="G34" s="11">
        <f t="shared" si="7"/>
        <v>14489.928</v>
      </c>
      <c r="H34" s="11">
        <f t="shared" si="8"/>
        <v>3192.696</v>
      </c>
      <c r="I34" s="11">
        <f t="shared" si="9"/>
        <v>736.776</v>
      </c>
      <c r="J34" s="11">
        <f t="shared" si="10"/>
        <v>2210.328</v>
      </c>
      <c r="K34" s="11">
        <f>9*6*2</f>
        <v>108</v>
      </c>
      <c r="L34" s="8">
        <f>144.73*15</f>
        <v>2170.95</v>
      </c>
      <c r="M34" s="8"/>
      <c r="N34" s="8"/>
      <c r="O34" s="16">
        <f t="shared" si="0"/>
        <v>2814.0750000000003</v>
      </c>
      <c r="P34" s="24">
        <f t="shared" si="11"/>
        <v>44756.132999999994</v>
      </c>
      <c r="Q34" s="24"/>
      <c r="R34" s="26">
        <f t="shared" si="1"/>
        <v>37759.77</v>
      </c>
      <c r="S34" s="11">
        <f>967*80</f>
        <v>77360</v>
      </c>
      <c r="T34" s="11"/>
      <c r="U34" s="11"/>
      <c r="V34" s="11"/>
      <c r="W34" s="11"/>
      <c r="X34" s="11"/>
      <c r="Y34" s="24">
        <f t="shared" si="12"/>
        <v>77360</v>
      </c>
      <c r="Z34" s="24">
        <f t="shared" si="2"/>
        <v>15840.684000000001</v>
      </c>
      <c r="AA34" s="24"/>
      <c r="AB34" s="24">
        <f t="shared" si="16"/>
        <v>6017.004</v>
      </c>
      <c r="AC34" s="26">
        <f t="shared" si="3"/>
        <v>2867.64</v>
      </c>
      <c r="AD34" s="8"/>
      <c r="AE34" s="8"/>
      <c r="AF34" s="26"/>
      <c r="AG34" s="24">
        <f t="shared" si="4"/>
        <v>14489.928</v>
      </c>
      <c r="AH34" s="24"/>
      <c r="AI34" s="24">
        <f t="shared" si="13"/>
        <v>199091.15899999999</v>
      </c>
    </row>
    <row r="35" spans="1:35" ht="15.75">
      <c r="A35" s="3" t="s">
        <v>33</v>
      </c>
      <c r="B35" s="4" t="s">
        <v>32</v>
      </c>
      <c r="C35" s="3" t="s">
        <v>2</v>
      </c>
      <c r="D35" s="18">
        <v>610.3</v>
      </c>
      <c r="E35" s="11">
        <f t="shared" si="5"/>
        <v>2636.4959999999996</v>
      </c>
      <c r="F35" s="11">
        <f t="shared" si="6"/>
        <v>8715.083999999999</v>
      </c>
      <c r="G35" s="11">
        <f t="shared" si="7"/>
        <v>8641.847999999998</v>
      </c>
      <c r="H35" s="11">
        <f t="shared" si="8"/>
        <v>1904.136</v>
      </c>
      <c r="I35" s="11">
        <f t="shared" si="9"/>
        <v>439.41599999999994</v>
      </c>
      <c r="J35" s="11">
        <f t="shared" si="10"/>
        <v>1318.2479999999998</v>
      </c>
      <c r="K35" s="11">
        <f>6*6*2</f>
        <v>72</v>
      </c>
      <c r="L35" s="8"/>
      <c r="M35" s="8"/>
      <c r="N35" s="8"/>
      <c r="O35" s="16">
        <f t="shared" si="0"/>
        <v>1678.325</v>
      </c>
      <c r="P35" s="24">
        <f t="shared" si="11"/>
        <v>25405.552999999996</v>
      </c>
      <c r="Q35" s="24"/>
      <c r="R35" s="26">
        <f t="shared" si="1"/>
        <v>22520.07</v>
      </c>
      <c r="S35" s="11"/>
      <c r="T35" s="11"/>
      <c r="U35" s="11"/>
      <c r="V35" s="11"/>
      <c r="W35" s="11"/>
      <c r="X35" s="11"/>
      <c r="Y35" s="24">
        <f t="shared" si="12"/>
        <v>0</v>
      </c>
      <c r="Z35" s="24">
        <f t="shared" si="2"/>
        <v>9447.444</v>
      </c>
      <c r="AA35" s="24"/>
      <c r="AB35" s="24">
        <f t="shared" si="16"/>
        <v>3588.5639999999994</v>
      </c>
      <c r="AC35" s="26">
        <f t="shared" si="3"/>
        <v>1711.2400000000002</v>
      </c>
      <c r="AD35" s="8"/>
      <c r="AE35" s="8"/>
      <c r="AF35" s="26"/>
      <c r="AG35" s="24">
        <f t="shared" si="4"/>
        <v>8641.847999999998</v>
      </c>
      <c r="AH35" s="24">
        <v>57500</v>
      </c>
      <c r="AI35" s="24">
        <f t="shared" si="13"/>
        <v>128814.71899999998</v>
      </c>
    </row>
    <row r="36" spans="1:35" ht="15.75">
      <c r="A36" s="3" t="s">
        <v>33</v>
      </c>
      <c r="B36" s="4" t="s">
        <v>35</v>
      </c>
      <c r="C36" s="3" t="s">
        <v>2</v>
      </c>
      <c r="D36" s="18">
        <v>1025.2</v>
      </c>
      <c r="E36" s="11">
        <f t="shared" si="5"/>
        <v>4428.864</v>
      </c>
      <c r="F36" s="11">
        <f t="shared" si="6"/>
        <v>14639.856</v>
      </c>
      <c r="G36" s="11">
        <f t="shared" si="7"/>
        <v>14516.831999999999</v>
      </c>
      <c r="H36" s="11">
        <f t="shared" si="8"/>
        <v>3198.6240000000003</v>
      </c>
      <c r="I36" s="11">
        <f t="shared" si="9"/>
        <v>738.144</v>
      </c>
      <c r="J36" s="11">
        <f t="shared" si="10"/>
        <v>2214.432</v>
      </c>
      <c r="K36" s="11">
        <f>8*6*2</f>
        <v>96</v>
      </c>
      <c r="L36" s="8">
        <f>144.73*14</f>
        <v>2026.2199999999998</v>
      </c>
      <c r="M36" s="8"/>
      <c r="N36" s="8"/>
      <c r="O36" s="16">
        <f t="shared" si="0"/>
        <v>2819.3000000000006</v>
      </c>
      <c r="P36" s="24">
        <f t="shared" si="11"/>
        <v>44678.272000000004</v>
      </c>
      <c r="Q36" s="24"/>
      <c r="R36" s="26">
        <f t="shared" si="1"/>
        <v>37829.880000000005</v>
      </c>
      <c r="S36" s="11"/>
      <c r="T36" s="11"/>
      <c r="U36" s="11"/>
      <c r="V36" s="11"/>
      <c r="W36" s="11"/>
      <c r="X36" s="11"/>
      <c r="Y36" s="24">
        <f t="shared" si="12"/>
        <v>0</v>
      </c>
      <c r="Z36" s="24">
        <f t="shared" si="2"/>
        <v>15870.096000000001</v>
      </c>
      <c r="AA36" s="24"/>
      <c r="AB36" s="24">
        <f t="shared" si="16"/>
        <v>6028.176</v>
      </c>
      <c r="AC36" s="26">
        <f t="shared" si="3"/>
        <v>2872.9600000000005</v>
      </c>
      <c r="AD36" s="8"/>
      <c r="AE36" s="8"/>
      <c r="AF36" s="26"/>
      <c r="AG36" s="24">
        <f t="shared" si="4"/>
        <v>14516.831999999999</v>
      </c>
      <c r="AH36" s="24">
        <v>57500</v>
      </c>
      <c r="AI36" s="24">
        <f t="shared" si="13"/>
        <v>179296.21600000001</v>
      </c>
    </row>
    <row r="37" spans="1:35" ht="15.75">
      <c r="A37" s="3" t="s">
        <v>33</v>
      </c>
      <c r="B37" s="4" t="s">
        <v>36</v>
      </c>
      <c r="C37" s="3" t="s">
        <v>2</v>
      </c>
      <c r="D37" s="18">
        <v>1032.3</v>
      </c>
      <c r="E37" s="11">
        <f t="shared" si="5"/>
        <v>4459.536</v>
      </c>
      <c r="F37" s="11">
        <f t="shared" si="6"/>
        <v>14741.243999999999</v>
      </c>
      <c r="G37" s="11">
        <f t="shared" si="7"/>
        <v>14617.367999999999</v>
      </c>
      <c r="H37" s="11">
        <f t="shared" si="8"/>
        <v>3220.7760000000003</v>
      </c>
      <c r="I37" s="11">
        <f t="shared" si="9"/>
        <v>743.256</v>
      </c>
      <c r="J37" s="11">
        <f t="shared" si="10"/>
        <v>2229.768</v>
      </c>
      <c r="K37" s="11">
        <f>8*8*4+8*6*2</f>
        <v>352</v>
      </c>
      <c r="L37" s="8">
        <f>144.73*14</f>
        <v>2026.2199999999998</v>
      </c>
      <c r="M37" s="8"/>
      <c r="N37" s="8"/>
      <c r="O37" s="16">
        <f t="shared" si="0"/>
        <v>2838.825</v>
      </c>
      <c r="P37" s="24">
        <f t="shared" si="11"/>
        <v>45228.993</v>
      </c>
      <c r="Q37" s="24"/>
      <c r="R37" s="26">
        <f t="shared" si="1"/>
        <v>38091.869999999995</v>
      </c>
      <c r="S37" s="11">
        <f>824*80</f>
        <v>65920</v>
      </c>
      <c r="T37" s="11"/>
      <c r="U37" s="11"/>
      <c r="V37" s="11"/>
      <c r="W37" s="11"/>
      <c r="X37" s="11"/>
      <c r="Y37" s="24">
        <f t="shared" si="12"/>
        <v>65920</v>
      </c>
      <c r="Z37" s="24">
        <f t="shared" si="2"/>
        <v>15980.003999999999</v>
      </c>
      <c r="AA37" s="24"/>
      <c r="AB37" s="24">
        <f t="shared" si="16"/>
        <v>6069.923999999999</v>
      </c>
      <c r="AC37" s="26">
        <f t="shared" si="3"/>
        <v>2892.84</v>
      </c>
      <c r="AD37" s="8"/>
      <c r="AE37" s="8"/>
      <c r="AF37" s="26"/>
      <c r="AG37" s="24">
        <f t="shared" si="4"/>
        <v>14617.367999999999</v>
      </c>
      <c r="AH37" s="24">
        <v>57500</v>
      </c>
      <c r="AI37" s="24">
        <f t="shared" si="13"/>
        <v>246300.99899999998</v>
      </c>
    </row>
    <row r="38" spans="1:35" ht="15.75">
      <c r="A38" s="3" t="s">
        <v>33</v>
      </c>
      <c r="B38" s="4" t="s">
        <v>37</v>
      </c>
      <c r="C38" s="3" t="s">
        <v>2</v>
      </c>
      <c r="D38" s="18">
        <v>832.3</v>
      </c>
      <c r="E38" s="11">
        <f t="shared" si="5"/>
        <v>3595.536</v>
      </c>
      <c r="F38" s="11">
        <f t="shared" si="6"/>
        <v>11885.243999999999</v>
      </c>
      <c r="G38" s="11">
        <f t="shared" si="7"/>
        <v>11785.367999999999</v>
      </c>
      <c r="H38" s="11">
        <f t="shared" si="8"/>
        <v>2596.776</v>
      </c>
      <c r="I38" s="11">
        <f t="shared" si="9"/>
        <v>599.256</v>
      </c>
      <c r="J38" s="11">
        <f t="shared" si="10"/>
        <v>1797.768</v>
      </c>
      <c r="K38" s="11">
        <f>24*8*4+24*6*2</f>
        <v>1056</v>
      </c>
      <c r="L38" s="8">
        <f>144.73*32</f>
        <v>4631.36</v>
      </c>
      <c r="M38" s="8"/>
      <c r="N38" s="8"/>
      <c r="O38" s="16">
        <f t="shared" si="0"/>
        <v>2288.825</v>
      </c>
      <c r="P38" s="24">
        <f t="shared" si="11"/>
        <v>40236.133</v>
      </c>
      <c r="Q38" s="24"/>
      <c r="R38" s="26">
        <f t="shared" si="1"/>
        <v>30711.869999999995</v>
      </c>
      <c r="S38" s="11" t="s">
        <v>162</v>
      </c>
      <c r="T38" s="11"/>
      <c r="U38" s="11"/>
      <c r="V38" s="11">
        <f>180*150</f>
        <v>27000</v>
      </c>
      <c r="W38" s="11"/>
      <c r="X38" s="11"/>
      <c r="Y38" s="24">
        <f t="shared" si="12"/>
        <v>27000</v>
      </c>
      <c r="Z38" s="24">
        <f t="shared" si="2"/>
        <v>12884.003999999999</v>
      </c>
      <c r="AA38" s="24"/>
      <c r="AB38" s="24">
        <f t="shared" si="16"/>
        <v>4893.924</v>
      </c>
      <c r="AC38" s="26">
        <f t="shared" si="3"/>
        <v>2332.84</v>
      </c>
      <c r="AD38" s="8"/>
      <c r="AE38" s="8"/>
      <c r="AF38" s="26"/>
      <c r="AG38" s="24">
        <f t="shared" si="4"/>
        <v>11785.367999999999</v>
      </c>
      <c r="AH38" s="24">
        <v>57500</v>
      </c>
      <c r="AI38" s="24">
        <f t="shared" si="13"/>
        <v>187344.139</v>
      </c>
    </row>
    <row r="39" spans="1:35" ht="15.75">
      <c r="A39" s="3" t="s">
        <v>33</v>
      </c>
      <c r="B39" s="4" t="s">
        <v>38</v>
      </c>
      <c r="C39" s="3" t="s">
        <v>2</v>
      </c>
      <c r="D39" s="18">
        <v>618.4</v>
      </c>
      <c r="E39" s="11">
        <f t="shared" si="5"/>
        <v>2671.488</v>
      </c>
      <c r="F39" s="11">
        <f t="shared" si="6"/>
        <v>8830.752</v>
      </c>
      <c r="G39" s="11">
        <f t="shared" si="7"/>
        <v>8756.544</v>
      </c>
      <c r="H39" s="11">
        <f t="shared" si="8"/>
        <v>1929.408</v>
      </c>
      <c r="I39" s="11">
        <f t="shared" si="9"/>
        <v>445.248</v>
      </c>
      <c r="J39" s="11">
        <f t="shared" si="10"/>
        <v>1335.744</v>
      </c>
      <c r="K39" s="11">
        <f>12*8*4+12*6*2</f>
        <v>528</v>
      </c>
      <c r="L39" s="8">
        <f>144.73*18</f>
        <v>2605.14</v>
      </c>
      <c r="M39" s="8"/>
      <c r="N39" s="8"/>
      <c r="O39" s="16">
        <f t="shared" si="0"/>
        <v>1700.6</v>
      </c>
      <c r="P39" s="24">
        <f t="shared" si="11"/>
        <v>28802.923999999995</v>
      </c>
      <c r="Q39" s="24"/>
      <c r="R39" s="26">
        <f t="shared" si="1"/>
        <v>22818.96</v>
      </c>
      <c r="S39" s="11"/>
      <c r="T39" s="11"/>
      <c r="U39" s="11"/>
      <c r="V39" s="11"/>
      <c r="W39" s="11"/>
      <c r="X39" s="11"/>
      <c r="Y39" s="24">
        <f t="shared" si="12"/>
        <v>0</v>
      </c>
      <c r="Z39" s="24">
        <f t="shared" si="2"/>
        <v>9572.832</v>
      </c>
      <c r="AA39" s="24"/>
      <c r="AB39" s="24">
        <f t="shared" si="16"/>
        <v>3636.1919999999996</v>
      </c>
      <c r="AC39" s="26">
        <f t="shared" si="3"/>
        <v>1733.92</v>
      </c>
      <c r="AD39" s="8"/>
      <c r="AE39" s="8"/>
      <c r="AF39" s="26"/>
      <c r="AG39" s="24">
        <f t="shared" si="4"/>
        <v>8756.544</v>
      </c>
      <c r="AH39" s="24">
        <v>57500</v>
      </c>
      <c r="AI39" s="24">
        <f t="shared" si="13"/>
        <v>132821.37199999997</v>
      </c>
    </row>
    <row r="40" spans="1:35" ht="15.75">
      <c r="A40" s="3" t="s">
        <v>33</v>
      </c>
      <c r="B40" s="4" t="s">
        <v>39</v>
      </c>
      <c r="C40" s="3" t="s">
        <v>2</v>
      </c>
      <c r="D40" s="18">
        <v>849.4</v>
      </c>
      <c r="E40" s="11">
        <f t="shared" si="5"/>
        <v>3669.408</v>
      </c>
      <c r="F40" s="11">
        <f t="shared" si="6"/>
        <v>12129.431999999999</v>
      </c>
      <c r="G40" s="11">
        <f t="shared" si="7"/>
        <v>12027.503999999999</v>
      </c>
      <c r="H40" s="11">
        <f t="shared" si="8"/>
        <v>2650.1279999999997</v>
      </c>
      <c r="I40" s="11">
        <f t="shared" si="9"/>
        <v>611.568</v>
      </c>
      <c r="J40" s="11">
        <f t="shared" si="10"/>
        <v>1834.704</v>
      </c>
      <c r="K40" s="11">
        <f>12*6*2</f>
        <v>144</v>
      </c>
      <c r="L40" s="8"/>
      <c r="M40" s="8"/>
      <c r="N40" s="8"/>
      <c r="O40" s="16">
        <f t="shared" si="0"/>
        <v>2335.85</v>
      </c>
      <c r="P40" s="24">
        <f t="shared" si="11"/>
        <v>35402.594</v>
      </c>
      <c r="Q40" s="24"/>
      <c r="R40" s="26">
        <f t="shared" si="1"/>
        <v>31342.86</v>
      </c>
      <c r="S40" s="11"/>
      <c r="T40" s="11"/>
      <c r="U40" s="11"/>
      <c r="V40" s="11"/>
      <c r="W40" s="11">
        <f>21*220</f>
        <v>4620</v>
      </c>
      <c r="X40" s="11">
        <v>20000</v>
      </c>
      <c r="Y40" s="24">
        <f t="shared" si="12"/>
        <v>24620</v>
      </c>
      <c r="Z40" s="24">
        <f t="shared" si="2"/>
        <v>13148.712000000001</v>
      </c>
      <c r="AA40" s="24"/>
      <c r="AB40" s="24">
        <f t="shared" si="16"/>
        <v>4994.472</v>
      </c>
      <c r="AC40" s="26">
        <f t="shared" si="3"/>
        <v>2380.72</v>
      </c>
      <c r="AD40" s="8"/>
      <c r="AE40" s="8"/>
      <c r="AF40" s="26"/>
      <c r="AG40" s="24">
        <f t="shared" si="4"/>
        <v>12027.503999999999</v>
      </c>
      <c r="AH40" s="24">
        <v>57500</v>
      </c>
      <c r="AI40" s="24">
        <f t="shared" si="13"/>
        <v>181416.862</v>
      </c>
    </row>
    <row r="41" spans="1:35" ht="15.75">
      <c r="A41" s="3" t="s">
        <v>33</v>
      </c>
      <c r="B41" s="4" t="s">
        <v>40</v>
      </c>
      <c r="C41" s="3" t="s">
        <v>2</v>
      </c>
      <c r="D41" s="18">
        <v>952.6</v>
      </c>
      <c r="E41" s="11">
        <f t="shared" si="5"/>
        <v>4115.232</v>
      </c>
      <c r="F41" s="11">
        <f t="shared" si="6"/>
        <v>13603.128</v>
      </c>
      <c r="G41" s="11">
        <f t="shared" si="7"/>
        <v>13488.815999999999</v>
      </c>
      <c r="H41" s="11">
        <f t="shared" si="8"/>
        <v>2972.112</v>
      </c>
      <c r="I41" s="11">
        <f t="shared" si="9"/>
        <v>685.872</v>
      </c>
      <c r="J41" s="11">
        <f t="shared" si="10"/>
        <v>2057.616</v>
      </c>
      <c r="K41" s="11">
        <f>24*8*4+24*6*2</f>
        <v>1056</v>
      </c>
      <c r="L41" s="8">
        <f>144.73*30</f>
        <v>4341.9</v>
      </c>
      <c r="M41" s="8"/>
      <c r="N41" s="8"/>
      <c r="O41" s="16">
        <f t="shared" si="0"/>
        <v>2619.6500000000005</v>
      </c>
      <c r="P41" s="24">
        <f t="shared" si="11"/>
        <v>44940.32600000001</v>
      </c>
      <c r="Q41" s="24"/>
      <c r="R41" s="26">
        <f t="shared" si="1"/>
        <v>35150.94</v>
      </c>
      <c r="S41" s="11"/>
      <c r="T41" s="11"/>
      <c r="U41" s="11"/>
      <c r="V41" s="11"/>
      <c r="W41" s="11"/>
      <c r="X41" s="11"/>
      <c r="Y41" s="24">
        <f t="shared" si="12"/>
        <v>0</v>
      </c>
      <c r="Z41" s="24">
        <f t="shared" si="2"/>
        <v>14746.248</v>
      </c>
      <c r="AA41" s="24"/>
      <c r="AB41" s="24">
        <f t="shared" si="16"/>
        <v>5601.2880000000005</v>
      </c>
      <c r="AC41" s="26">
        <f t="shared" si="3"/>
        <v>2669.6800000000003</v>
      </c>
      <c r="AD41" s="8"/>
      <c r="AE41" s="8"/>
      <c r="AF41" s="26"/>
      <c r="AG41" s="24">
        <f t="shared" si="4"/>
        <v>13488.815999999999</v>
      </c>
      <c r="AH41" s="24">
        <v>57500</v>
      </c>
      <c r="AI41" s="24">
        <f t="shared" si="13"/>
        <v>174097.29799999998</v>
      </c>
    </row>
    <row r="42" spans="1:35" ht="15.75">
      <c r="A42" s="3" t="s">
        <v>33</v>
      </c>
      <c r="B42" s="4" t="s">
        <v>9</v>
      </c>
      <c r="C42" s="3" t="s">
        <v>2</v>
      </c>
      <c r="D42" s="18">
        <v>597.2</v>
      </c>
      <c r="E42" s="11">
        <f t="shared" si="5"/>
        <v>2579.9040000000005</v>
      </c>
      <c r="F42" s="11">
        <f t="shared" si="6"/>
        <v>8528.016</v>
      </c>
      <c r="G42" s="11">
        <f t="shared" si="7"/>
        <v>8456.352</v>
      </c>
      <c r="H42" s="11">
        <f t="shared" si="8"/>
        <v>1863.2640000000001</v>
      </c>
      <c r="I42" s="11">
        <f t="shared" si="9"/>
        <v>429.98400000000004</v>
      </c>
      <c r="J42" s="11">
        <f t="shared" si="10"/>
        <v>1289.9520000000002</v>
      </c>
      <c r="K42" s="11">
        <f>12*6*2</f>
        <v>144</v>
      </c>
      <c r="L42" s="8"/>
      <c r="M42" s="8"/>
      <c r="N42" s="8"/>
      <c r="O42" s="16">
        <f t="shared" si="0"/>
        <v>1642.3000000000002</v>
      </c>
      <c r="P42" s="24">
        <f t="shared" si="11"/>
        <v>24933.772</v>
      </c>
      <c r="Q42" s="24"/>
      <c r="R42" s="26">
        <f t="shared" si="1"/>
        <v>22036.68</v>
      </c>
      <c r="S42" s="11"/>
      <c r="T42" s="11"/>
      <c r="U42" s="11"/>
      <c r="V42" s="11"/>
      <c r="W42" s="11">
        <f>2*220</f>
        <v>440</v>
      </c>
      <c r="X42" s="11">
        <v>50000</v>
      </c>
      <c r="Y42" s="24">
        <f t="shared" si="12"/>
        <v>50440</v>
      </c>
      <c r="Z42" s="24">
        <f t="shared" si="2"/>
        <v>9244.656</v>
      </c>
      <c r="AA42" s="24"/>
      <c r="AB42" s="24">
        <f t="shared" si="16"/>
        <v>3511.5360000000005</v>
      </c>
      <c r="AC42" s="26">
        <f t="shared" si="3"/>
        <v>1674.5600000000002</v>
      </c>
      <c r="AD42" s="8"/>
      <c r="AE42" s="8"/>
      <c r="AF42" s="26"/>
      <c r="AG42" s="24">
        <f t="shared" si="4"/>
        <v>8456.352</v>
      </c>
      <c r="AH42" s="24">
        <v>57500</v>
      </c>
      <c r="AI42" s="24">
        <f t="shared" si="13"/>
        <v>177797.556</v>
      </c>
    </row>
    <row r="43" spans="1:35" ht="15.75">
      <c r="A43" s="3" t="s">
        <v>33</v>
      </c>
      <c r="B43" s="4" t="s">
        <v>11</v>
      </c>
      <c r="C43" s="3" t="s">
        <v>2</v>
      </c>
      <c r="D43" s="18">
        <v>713.7</v>
      </c>
      <c r="E43" s="11">
        <f t="shared" si="5"/>
        <v>3083.184</v>
      </c>
      <c r="F43" s="11">
        <f t="shared" si="6"/>
        <v>10191.636</v>
      </c>
      <c r="G43" s="11">
        <f t="shared" si="7"/>
        <v>10105.992</v>
      </c>
      <c r="H43" s="11">
        <f t="shared" si="8"/>
        <v>2226.744</v>
      </c>
      <c r="I43" s="11">
        <f t="shared" si="9"/>
        <v>513.864</v>
      </c>
      <c r="J43" s="11">
        <f t="shared" si="10"/>
        <v>1541.592</v>
      </c>
      <c r="K43" s="11">
        <f>17*8*4+17*6*2</f>
        <v>748</v>
      </c>
      <c r="L43" s="8">
        <f>144.73*3</f>
        <v>434.18999999999994</v>
      </c>
      <c r="M43" s="8"/>
      <c r="N43" s="8">
        <f>492*20.77</f>
        <v>10218.84</v>
      </c>
      <c r="O43" s="16">
        <f t="shared" si="0"/>
        <v>1962.6750000000004</v>
      </c>
      <c r="P43" s="24">
        <f t="shared" si="11"/>
        <v>41026.717000000004</v>
      </c>
      <c r="Q43" s="24"/>
      <c r="R43" s="26">
        <f t="shared" si="1"/>
        <v>26335.530000000006</v>
      </c>
      <c r="S43" s="11"/>
      <c r="T43" s="11"/>
      <c r="U43" s="11"/>
      <c r="V43" s="11">
        <f>116*150</f>
        <v>17400</v>
      </c>
      <c r="W43" s="11"/>
      <c r="X43" s="11"/>
      <c r="Y43" s="24">
        <f t="shared" si="12"/>
        <v>17400</v>
      </c>
      <c r="Z43" s="24">
        <f t="shared" si="2"/>
        <v>11048.076000000001</v>
      </c>
      <c r="AA43" s="24"/>
      <c r="AB43" s="24">
        <f t="shared" si="16"/>
        <v>4196.5560000000005</v>
      </c>
      <c r="AC43" s="26">
        <f t="shared" si="3"/>
        <v>2000.7600000000002</v>
      </c>
      <c r="AD43" s="8"/>
      <c r="AE43" s="8"/>
      <c r="AF43" s="26"/>
      <c r="AG43" s="24">
        <f t="shared" si="4"/>
        <v>10105.992</v>
      </c>
      <c r="AH43" s="24">
        <v>57500</v>
      </c>
      <c r="AI43" s="24">
        <f t="shared" si="13"/>
        <v>169613.631</v>
      </c>
    </row>
    <row r="44" spans="1:35" ht="15.75">
      <c r="A44" s="3" t="s">
        <v>33</v>
      </c>
      <c r="B44" s="4" t="s">
        <v>12</v>
      </c>
      <c r="C44" s="3" t="s">
        <v>2</v>
      </c>
      <c r="D44" s="18">
        <v>3113.8</v>
      </c>
      <c r="E44" s="11">
        <f t="shared" si="5"/>
        <v>13451.616000000002</v>
      </c>
      <c r="F44" s="11">
        <f t="shared" si="6"/>
        <v>44465.064</v>
      </c>
      <c r="G44" s="11">
        <f t="shared" si="7"/>
        <v>44091.408</v>
      </c>
      <c r="H44" s="11">
        <f t="shared" si="8"/>
        <v>9715.056</v>
      </c>
      <c r="I44" s="11">
        <f t="shared" si="9"/>
        <v>2241.936</v>
      </c>
      <c r="J44" s="11">
        <f t="shared" si="10"/>
        <v>6725.808000000001</v>
      </c>
      <c r="K44" s="11">
        <f>68*6*2</f>
        <v>816</v>
      </c>
      <c r="L44" s="8">
        <f>144.73*3</f>
        <v>434.18999999999994</v>
      </c>
      <c r="M44" s="8"/>
      <c r="N44" s="8"/>
      <c r="O44" s="16">
        <f t="shared" si="0"/>
        <v>8562.95</v>
      </c>
      <c r="P44" s="24">
        <f t="shared" si="11"/>
        <v>130504.028</v>
      </c>
      <c r="Q44" s="24">
        <f>D44*1.27*5+D44*1.34*7</f>
        <v>48980.07400000001</v>
      </c>
      <c r="R44" s="26">
        <f t="shared" si="1"/>
        <v>114899.22000000003</v>
      </c>
      <c r="S44" s="11"/>
      <c r="T44" s="11"/>
      <c r="U44" s="11"/>
      <c r="V44" s="11"/>
      <c r="W44" s="11"/>
      <c r="X44" s="11">
        <v>5000</v>
      </c>
      <c r="Y44" s="24">
        <f t="shared" si="12"/>
        <v>5000</v>
      </c>
      <c r="Z44" s="24">
        <f t="shared" si="2"/>
        <v>48201.624</v>
      </c>
      <c r="AA44" s="24"/>
      <c r="AB44" s="24">
        <f t="shared" si="16"/>
        <v>18309.144</v>
      </c>
      <c r="AC44" s="26">
        <f t="shared" si="3"/>
        <v>8721.04</v>
      </c>
      <c r="AD44" s="8"/>
      <c r="AE44" s="8"/>
      <c r="AF44" s="26"/>
      <c r="AG44" s="24">
        <f t="shared" si="4"/>
        <v>44091.408</v>
      </c>
      <c r="AH44" s="24">
        <v>57500</v>
      </c>
      <c r="AI44" s="24">
        <f t="shared" si="13"/>
        <v>476206.53800000006</v>
      </c>
    </row>
    <row r="45" spans="1:35" ht="15.75">
      <c r="A45" s="3" t="s">
        <v>33</v>
      </c>
      <c r="B45" s="4" t="s">
        <v>41</v>
      </c>
      <c r="C45" s="3" t="s">
        <v>2</v>
      </c>
      <c r="D45" s="18">
        <v>722.1</v>
      </c>
      <c r="E45" s="11">
        <f t="shared" si="5"/>
        <v>3119.472</v>
      </c>
      <c r="F45" s="11">
        <f t="shared" si="6"/>
        <v>10311.588</v>
      </c>
      <c r="G45" s="11">
        <f t="shared" si="7"/>
        <v>10224.936</v>
      </c>
      <c r="H45" s="11">
        <f t="shared" si="8"/>
        <v>2252.952</v>
      </c>
      <c r="I45" s="11">
        <f t="shared" si="9"/>
        <v>519.912</v>
      </c>
      <c r="J45" s="11">
        <f t="shared" si="10"/>
        <v>1559.736</v>
      </c>
      <c r="K45" s="11">
        <f>17*8*4+17*6*2</f>
        <v>748</v>
      </c>
      <c r="L45" s="8">
        <f>144.73*2</f>
        <v>289.46</v>
      </c>
      <c r="M45" s="8"/>
      <c r="N45" s="8"/>
      <c r="O45" s="16">
        <f t="shared" si="0"/>
        <v>1985.775</v>
      </c>
      <c r="P45" s="24">
        <f t="shared" si="11"/>
        <v>31011.831000000002</v>
      </c>
      <c r="Q45" s="24"/>
      <c r="R45" s="26">
        <f t="shared" si="1"/>
        <v>26645.490000000005</v>
      </c>
      <c r="S45" s="11"/>
      <c r="T45" s="11"/>
      <c r="U45" s="11"/>
      <c r="V45" s="11"/>
      <c r="W45" s="11"/>
      <c r="X45" s="11"/>
      <c r="Y45" s="24">
        <f t="shared" si="12"/>
        <v>0</v>
      </c>
      <c r="Z45" s="24">
        <f t="shared" si="2"/>
        <v>11178.108</v>
      </c>
      <c r="AA45" s="24"/>
      <c r="AB45" s="24">
        <f t="shared" si="16"/>
        <v>4245.948</v>
      </c>
      <c r="AC45" s="26">
        <f t="shared" si="3"/>
        <v>2024.2800000000002</v>
      </c>
      <c r="AD45" s="8"/>
      <c r="AE45" s="8"/>
      <c r="AF45" s="26"/>
      <c r="AG45" s="24">
        <f t="shared" si="4"/>
        <v>10224.936</v>
      </c>
      <c r="AH45" s="24">
        <v>57500</v>
      </c>
      <c r="AI45" s="24">
        <f t="shared" si="13"/>
        <v>142830.593</v>
      </c>
    </row>
    <row r="46" spans="1:35" ht="15.75">
      <c r="A46" s="3" t="s">
        <v>33</v>
      </c>
      <c r="B46" s="4" t="s">
        <v>42</v>
      </c>
      <c r="C46" s="3" t="s">
        <v>2</v>
      </c>
      <c r="D46" s="18">
        <v>1254.7</v>
      </c>
      <c r="E46" s="11">
        <f t="shared" si="5"/>
        <v>5420.304</v>
      </c>
      <c r="F46" s="11">
        <f t="shared" si="6"/>
        <v>17917.116</v>
      </c>
      <c r="G46" s="11">
        <f t="shared" si="7"/>
        <v>17766.552</v>
      </c>
      <c r="H46" s="11">
        <f t="shared" si="8"/>
        <v>3914.6640000000007</v>
      </c>
      <c r="I46" s="11">
        <f t="shared" si="9"/>
        <v>903.384</v>
      </c>
      <c r="J46" s="11">
        <f t="shared" si="10"/>
        <v>2710.152</v>
      </c>
      <c r="K46" s="11">
        <f>32*8*4+32*6*2</f>
        <v>1408</v>
      </c>
      <c r="L46" s="8">
        <f>144.73*3</f>
        <v>434.18999999999994</v>
      </c>
      <c r="M46" s="8"/>
      <c r="N46" s="8"/>
      <c r="O46" s="16">
        <f t="shared" si="0"/>
        <v>3450.425</v>
      </c>
      <c r="P46" s="24">
        <f t="shared" si="11"/>
        <v>53924.787000000004</v>
      </c>
      <c r="Q46" s="24">
        <f>D46*1.27*5+D46*1.34*7</f>
        <v>19736.431</v>
      </c>
      <c r="R46" s="26">
        <f t="shared" si="1"/>
        <v>46298.43000000001</v>
      </c>
      <c r="S46" s="11"/>
      <c r="T46" s="11"/>
      <c r="U46" s="11"/>
      <c r="V46" s="11"/>
      <c r="W46" s="11"/>
      <c r="X46" s="11"/>
      <c r="Y46" s="24">
        <f t="shared" si="12"/>
        <v>0</v>
      </c>
      <c r="Z46" s="24">
        <f t="shared" si="2"/>
        <v>19422.756</v>
      </c>
      <c r="AA46" s="24"/>
      <c r="AB46" s="24">
        <f t="shared" si="16"/>
        <v>7377.636</v>
      </c>
      <c r="AC46" s="26">
        <f t="shared" si="3"/>
        <v>3515.5600000000004</v>
      </c>
      <c r="AD46" s="8"/>
      <c r="AE46" s="8"/>
      <c r="AF46" s="26"/>
      <c r="AG46" s="24">
        <f t="shared" si="4"/>
        <v>17766.552</v>
      </c>
      <c r="AH46" s="24">
        <v>57500</v>
      </c>
      <c r="AI46" s="24">
        <f t="shared" si="13"/>
        <v>225542.152</v>
      </c>
    </row>
    <row r="47" spans="1:35" ht="15.75">
      <c r="A47" s="3" t="s">
        <v>33</v>
      </c>
      <c r="B47" s="4" t="s">
        <v>43</v>
      </c>
      <c r="C47" s="3" t="s">
        <v>2</v>
      </c>
      <c r="D47" s="18">
        <v>963.7</v>
      </c>
      <c r="E47" s="11">
        <f t="shared" si="5"/>
        <v>4163.184</v>
      </c>
      <c r="F47" s="11">
        <f t="shared" si="6"/>
        <v>13761.636000000002</v>
      </c>
      <c r="G47" s="11">
        <f t="shared" si="7"/>
        <v>13645.991999999998</v>
      </c>
      <c r="H47" s="11">
        <f t="shared" si="8"/>
        <v>3006.744</v>
      </c>
      <c r="I47" s="11">
        <f t="shared" si="9"/>
        <v>693.864</v>
      </c>
      <c r="J47" s="11">
        <f t="shared" si="10"/>
        <v>2081.592</v>
      </c>
      <c r="K47" s="11">
        <f>24*8*4+24*6*2</f>
        <v>1056</v>
      </c>
      <c r="L47" s="8">
        <f>144.73*30</f>
        <v>4341.9</v>
      </c>
      <c r="M47" s="8"/>
      <c r="N47" s="8"/>
      <c r="O47" s="16">
        <f t="shared" si="0"/>
        <v>2650.175</v>
      </c>
      <c r="P47" s="24">
        <f t="shared" si="11"/>
        <v>45401.08700000001</v>
      </c>
      <c r="Q47" s="24"/>
      <c r="R47" s="26">
        <f t="shared" si="1"/>
        <v>35560.530000000006</v>
      </c>
      <c r="S47" s="11"/>
      <c r="T47" s="11"/>
      <c r="U47" s="11"/>
      <c r="V47" s="11">
        <f>190*150</f>
        <v>28500</v>
      </c>
      <c r="W47" s="11"/>
      <c r="X47" s="11"/>
      <c r="Y47" s="24">
        <f t="shared" si="12"/>
        <v>28500</v>
      </c>
      <c r="Z47" s="24">
        <f t="shared" si="2"/>
        <v>14918.076000000001</v>
      </c>
      <c r="AA47" s="24"/>
      <c r="AB47" s="24">
        <f t="shared" si="16"/>
        <v>5666.5560000000005</v>
      </c>
      <c r="AC47" s="26">
        <f t="shared" si="3"/>
        <v>2700.76</v>
      </c>
      <c r="AD47" s="8"/>
      <c r="AE47" s="8"/>
      <c r="AF47" s="26"/>
      <c r="AG47" s="24">
        <f t="shared" si="4"/>
        <v>13645.991999999998</v>
      </c>
      <c r="AH47" s="24">
        <v>57500</v>
      </c>
      <c r="AI47" s="24">
        <f t="shared" si="13"/>
        <v>203893.00100000002</v>
      </c>
    </row>
    <row r="48" spans="1:35" ht="15.75">
      <c r="A48" s="3" t="s">
        <v>33</v>
      </c>
      <c r="B48" s="4" t="s">
        <v>13</v>
      </c>
      <c r="C48" s="3" t="s">
        <v>2</v>
      </c>
      <c r="D48" s="18">
        <v>3165</v>
      </c>
      <c r="E48" s="11">
        <f t="shared" si="5"/>
        <v>13672.8</v>
      </c>
      <c r="F48" s="11">
        <f t="shared" si="6"/>
        <v>45196.2</v>
      </c>
      <c r="G48" s="11">
        <f t="shared" si="7"/>
        <v>44816.399999999994</v>
      </c>
      <c r="H48" s="11">
        <f t="shared" si="8"/>
        <v>9874.8</v>
      </c>
      <c r="I48" s="11">
        <f t="shared" si="9"/>
        <v>2278.8</v>
      </c>
      <c r="J48" s="11">
        <f t="shared" si="10"/>
        <v>6836.4</v>
      </c>
      <c r="K48" s="11">
        <f>72*6*2</f>
        <v>864</v>
      </c>
      <c r="L48" s="8">
        <f>144.73*2</f>
        <v>289.46</v>
      </c>
      <c r="M48" s="8"/>
      <c r="N48" s="8"/>
      <c r="O48" s="16">
        <f t="shared" si="0"/>
        <v>8703.750000000002</v>
      </c>
      <c r="P48" s="24">
        <f t="shared" si="11"/>
        <v>132532.61000000002</v>
      </c>
      <c r="Q48" s="24">
        <f>D48*1.27*5+D48*1.34*7</f>
        <v>49785.450000000004</v>
      </c>
      <c r="R48" s="26">
        <f t="shared" si="1"/>
        <v>116788.5</v>
      </c>
      <c r="S48" s="11"/>
      <c r="T48" s="11"/>
      <c r="U48" s="11"/>
      <c r="V48" s="11"/>
      <c r="W48" s="11">
        <f>27*220</f>
        <v>5940</v>
      </c>
      <c r="X48" s="11"/>
      <c r="Y48" s="24">
        <f t="shared" si="12"/>
        <v>5940</v>
      </c>
      <c r="Z48" s="24">
        <f t="shared" si="2"/>
        <v>48994.2</v>
      </c>
      <c r="AA48" s="24"/>
      <c r="AB48" s="24">
        <f t="shared" si="16"/>
        <v>18610.199999999997</v>
      </c>
      <c r="AC48" s="26">
        <f t="shared" si="3"/>
        <v>8864.4</v>
      </c>
      <c r="AD48" s="8"/>
      <c r="AE48" s="8"/>
      <c r="AF48" s="26"/>
      <c r="AG48" s="24">
        <f t="shared" si="4"/>
        <v>44816.399999999994</v>
      </c>
      <c r="AH48" s="24">
        <v>57500</v>
      </c>
      <c r="AI48" s="24">
        <f t="shared" si="13"/>
        <v>483831.7600000001</v>
      </c>
    </row>
    <row r="49" spans="1:35" ht="15.75">
      <c r="A49" s="3" t="s">
        <v>33</v>
      </c>
      <c r="B49" s="4" t="s">
        <v>16</v>
      </c>
      <c r="C49" s="3" t="s">
        <v>2</v>
      </c>
      <c r="D49" s="18">
        <v>2786.5</v>
      </c>
      <c r="E49" s="11">
        <f t="shared" si="5"/>
        <v>12037.68</v>
      </c>
      <c r="F49" s="11">
        <f t="shared" si="6"/>
        <v>39791.22</v>
      </c>
      <c r="G49" s="11">
        <f t="shared" si="7"/>
        <v>39456.84</v>
      </c>
      <c r="H49" s="11">
        <f t="shared" si="8"/>
        <v>8693.880000000001</v>
      </c>
      <c r="I49" s="11">
        <f t="shared" si="9"/>
        <v>2006.28</v>
      </c>
      <c r="J49" s="11">
        <f t="shared" si="10"/>
        <v>6018.84</v>
      </c>
      <c r="K49" s="11">
        <f>60*8+60*6*2</f>
        <v>1200</v>
      </c>
      <c r="L49" s="8">
        <f>144.73*2</f>
        <v>289.46</v>
      </c>
      <c r="M49" s="8"/>
      <c r="N49" s="8"/>
      <c r="O49" s="16">
        <f t="shared" si="0"/>
        <v>7662.875</v>
      </c>
      <c r="P49" s="24">
        <f t="shared" si="11"/>
        <v>117157.075</v>
      </c>
      <c r="Q49" s="24">
        <f>D49*1.27*5+D49*1.34*7</f>
        <v>43831.645000000004</v>
      </c>
      <c r="R49" s="26">
        <f t="shared" si="1"/>
        <v>102821.85</v>
      </c>
      <c r="S49" s="11"/>
      <c r="T49" s="11"/>
      <c r="U49" s="11"/>
      <c r="V49" s="11"/>
      <c r="W49" s="11"/>
      <c r="X49" s="11"/>
      <c r="Y49" s="24">
        <f t="shared" si="12"/>
        <v>0</v>
      </c>
      <c r="Z49" s="24">
        <f t="shared" si="2"/>
        <v>43135.020000000004</v>
      </c>
      <c r="AA49" s="24"/>
      <c r="AB49" s="24">
        <f t="shared" si="16"/>
        <v>16384.62</v>
      </c>
      <c r="AC49" s="26">
        <f t="shared" si="3"/>
        <v>7804.6</v>
      </c>
      <c r="AD49" s="8"/>
      <c r="AE49" s="8"/>
      <c r="AF49" s="26"/>
      <c r="AG49" s="24">
        <f t="shared" si="4"/>
        <v>39456.84</v>
      </c>
      <c r="AH49" s="24">
        <v>57500</v>
      </c>
      <c r="AI49" s="24">
        <f t="shared" si="13"/>
        <v>428091.65</v>
      </c>
    </row>
    <row r="50" spans="1:35" ht="15.75">
      <c r="A50" s="3" t="s">
        <v>33</v>
      </c>
      <c r="B50" s="4" t="s">
        <v>44</v>
      </c>
      <c r="C50" s="3" t="s">
        <v>2</v>
      </c>
      <c r="D50" s="18">
        <v>618.1</v>
      </c>
      <c r="E50" s="11">
        <f t="shared" si="5"/>
        <v>2670.192</v>
      </c>
      <c r="F50" s="11">
        <f t="shared" si="6"/>
        <v>8826.468</v>
      </c>
      <c r="G50" s="11">
        <f t="shared" si="7"/>
        <v>8752.295999999998</v>
      </c>
      <c r="H50" s="11">
        <f t="shared" si="8"/>
        <v>1928.4720000000002</v>
      </c>
      <c r="I50" s="11">
        <f t="shared" si="9"/>
        <v>445.032</v>
      </c>
      <c r="J50" s="11">
        <f t="shared" si="10"/>
        <v>1335.096</v>
      </c>
      <c r="K50" s="11">
        <f>12*8*4+12*6*2</f>
        <v>528</v>
      </c>
      <c r="L50" s="8"/>
      <c r="M50" s="8"/>
      <c r="N50" s="8"/>
      <c r="O50" s="16">
        <f t="shared" si="0"/>
        <v>1699.775</v>
      </c>
      <c r="P50" s="24">
        <f t="shared" si="11"/>
        <v>26185.331000000002</v>
      </c>
      <c r="Q50" s="24"/>
      <c r="R50" s="26">
        <f t="shared" si="1"/>
        <v>22807.890000000003</v>
      </c>
      <c r="S50" s="11">
        <f>158*700</f>
        <v>110600</v>
      </c>
      <c r="T50" s="11"/>
      <c r="U50" s="11"/>
      <c r="V50" s="11"/>
      <c r="W50" s="11"/>
      <c r="X50" s="11"/>
      <c r="Y50" s="24">
        <f t="shared" si="12"/>
        <v>110600</v>
      </c>
      <c r="Z50" s="24">
        <f t="shared" si="2"/>
        <v>9568.188</v>
      </c>
      <c r="AA50" s="24"/>
      <c r="AB50" s="24">
        <f t="shared" si="16"/>
        <v>3634.4280000000003</v>
      </c>
      <c r="AC50" s="26">
        <f t="shared" si="3"/>
        <v>1733.0800000000002</v>
      </c>
      <c r="AD50" s="8"/>
      <c r="AE50" s="8"/>
      <c r="AF50" s="26"/>
      <c r="AG50" s="24">
        <f t="shared" si="4"/>
        <v>8752.295999999998</v>
      </c>
      <c r="AH50" s="24">
        <v>57500</v>
      </c>
      <c r="AI50" s="24">
        <f t="shared" si="13"/>
        <v>240781.21300000002</v>
      </c>
    </row>
    <row r="51" spans="1:35" ht="15.75">
      <c r="A51" s="3" t="s">
        <v>45</v>
      </c>
      <c r="B51" s="4" t="s">
        <v>35</v>
      </c>
      <c r="C51" s="3" t="s">
        <v>2</v>
      </c>
      <c r="D51" s="18">
        <v>458.7</v>
      </c>
      <c r="E51" s="11">
        <f t="shared" si="5"/>
        <v>1981.5839999999998</v>
      </c>
      <c r="F51" s="11">
        <f t="shared" si="6"/>
        <v>6550.235999999999</v>
      </c>
      <c r="G51" s="11">
        <f t="shared" si="7"/>
        <v>6495.191999999999</v>
      </c>
      <c r="H51" s="11">
        <f t="shared" si="8"/>
        <v>1431.144</v>
      </c>
      <c r="I51" s="11">
        <f t="shared" si="9"/>
        <v>330.264</v>
      </c>
      <c r="J51" s="11">
        <f t="shared" si="10"/>
        <v>990.7919999999999</v>
      </c>
      <c r="K51" s="11">
        <f>6*8*4+6*6*2</f>
        <v>264</v>
      </c>
      <c r="L51" s="8">
        <f>144.73*3</f>
        <v>434.18999999999994</v>
      </c>
      <c r="M51" s="8"/>
      <c r="N51" s="8"/>
      <c r="O51" s="16">
        <f t="shared" si="0"/>
        <v>1261.4250000000002</v>
      </c>
      <c r="P51" s="24">
        <f t="shared" si="11"/>
        <v>19738.826999999997</v>
      </c>
      <c r="Q51" s="24"/>
      <c r="R51" s="26">
        <f t="shared" si="1"/>
        <v>16926.03</v>
      </c>
      <c r="S51" s="11"/>
      <c r="T51" s="11"/>
      <c r="U51" s="11"/>
      <c r="V51" s="11"/>
      <c r="W51" s="11"/>
      <c r="X51" s="11"/>
      <c r="Y51" s="24">
        <f t="shared" si="12"/>
        <v>0</v>
      </c>
      <c r="Z51" s="24">
        <f t="shared" si="2"/>
        <v>7100.6759999999995</v>
      </c>
      <c r="AA51" s="24"/>
      <c r="AB51" s="24">
        <f t="shared" si="16"/>
        <v>2697.156</v>
      </c>
      <c r="AC51" s="26">
        <f t="shared" si="3"/>
        <v>1286.7600000000002</v>
      </c>
      <c r="AD51" s="8"/>
      <c r="AE51" s="8"/>
      <c r="AF51" s="26"/>
      <c r="AG51" s="24">
        <f t="shared" si="4"/>
        <v>6495.191999999999</v>
      </c>
      <c r="AH51" s="24">
        <v>57500</v>
      </c>
      <c r="AI51" s="24">
        <f t="shared" si="13"/>
        <v>111744.641</v>
      </c>
    </row>
    <row r="52" spans="1:35" ht="15.75">
      <c r="A52" s="3" t="s">
        <v>45</v>
      </c>
      <c r="B52" s="4" t="s">
        <v>17</v>
      </c>
      <c r="C52" s="3" t="s">
        <v>2</v>
      </c>
      <c r="D52" s="18">
        <v>638.7</v>
      </c>
      <c r="E52" s="11">
        <f t="shared" si="5"/>
        <v>2759.184</v>
      </c>
      <c r="F52" s="11">
        <f t="shared" si="6"/>
        <v>9120.636</v>
      </c>
      <c r="G52" s="11">
        <f t="shared" si="7"/>
        <v>9043.992</v>
      </c>
      <c r="H52" s="11">
        <f t="shared" si="8"/>
        <v>1992.7440000000001</v>
      </c>
      <c r="I52" s="11">
        <f t="shared" si="9"/>
        <v>459.86400000000003</v>
      </c>
      <c r="J52" s="11">
        <f t="shared" si="10"/>
        <v>1379.592</v>
      </c>
      <c r="K52" s="11">
        <f>12*8+12*6*2</f>
        <v>240</v>
      </c>
      <c r="L52" s="8">
        <f>144.73*3</f>
        <v>434.18999999999994</v>
      </c>
      <c r="M52" s="8"/>
      <c r="N52" s="8">
        <f>610*20.77</f>
        <v>12669.699999999999</v>
      </c>
      <c r="O52" s="16">
        <f t="shared" si="0"/>
        <v>1756.4250000000002</v>
      </c>
      <c r="P52" s="24">
        <f t="shared" si="11"/>
        <v>39856.327</v>
      </c>
      <c r="Q52" s="24"/>
      <c r="R52" s="26">
        <f t="shared" si="1"/>
        <v>23568.030000000002</v>
      </c>
      <c r="S52" s="11"/>
      <c r="T52" s="11"/>
      <c r="U52" s="11"/>
      <c r="V52" s="11">
        <f>90*150</f>
        <v>13500</v>
      </c>
      <c r="W52" s="11">
        <f>5*220</f>
        <v>1100</v>
      </c>
      <c r="X52" s="11"/>
      <c r="Y52" s="24">
        <f t="shared" si="12"/>
        <v>14600</v>
      </c>
      <c r="Z52" s="24">
        <f t="shared" si="2"/>
        <v>9887.076000000001</v>
      </c>
      <c r="AA52" s="24"/>
      <c r="AB52" s="24">
        <f t="shared" si="16"/>
        <v>3755.5560000000005</v>
      </c>
      <c r="AC52" s="26">
        <f t="shared" si="3"/>
        <v>1790.7600000000002</v>
      </c>
      <c r="AD52" s="8"/>
      <c r="AE52" s="8"/>
      <c r="AF52" s="26"/>
      <c r="AG52" s="24">
        <f t="shared" si="4"/>
        <v>9043.992</v>
      </c>
      <c r="AH52" s="24">
        <v>57500</v>
      </c>
      <c r="AI52" s="24">
        <f t="shared" si="13"/>
        <v>160001.74099999998</v>
      </c>
    </row>
    <row r="53" spans="1:35" ht="15.75">
      <c r="A53" s="3" t="s">
        <v>45</v>
      </c>
      <c r="B53" s="4" t="s">
        <v>46</v>
      </c>
      <c r="C53" s="3" t="s">
        <v>2</v>
      </c>
      <c r="D53" s="18">
        <v>555.7</v>
      </c>
      <c r="E53" s="11">
        <f t="shared" si="5"/>
        <v>2400.6240000000003</v>
      </c>
      <c r="F53" s="11">
        <f t="shared" si="6"/>
        <v>7935.396000000001</v>
      </c>
      <c r="G53" s="11">
        <f t="shared" si="7"/>
        <v>7868.7119999999995</v>
      </c>
      <c r="H53" s="11">
        <f t="shared" si="8"/>
        <v>1733.7840000000003</v>
      </c>
      <c r="I53" s="11">
        <f t="shared" si="9"/>
        <v>400.104</v>
      </c>
      <c r="J53" s="11">
        <f t="shared" si="10"/>
        <v>1200.3120000000001</v>
      </c>
      <c r="K53" s="11">
        <f>9*8*4+9*6*2</f>
        <v>396</v>
      </c>
      <c r="L53" s="8">
        <f>144.73*3</f>
        <v>434.18999999999994</v>
      </c>
      <c r="M53" s="8"/>
      <c r="N53" s="8">
        <f>501*20.77</f>
        <v>10405.77</v>
      </c>
      <c r="O53" s="16">
        <f t="shared" si="0"/>
        <v>1528.1750000000002</v>
      </c>
      <c r="P53" s="24">
        <f t="shared" si="11"/>
        <v>34303.067</v>
      </c>
      <c r="Q53" s="24"/>
      <c r="R53" s="26">
        <f t="shared" si="1"/>
        <v>20505.33</v>
      </c>
      <c r="S53" s="11"/>
      <c r="T53" s="11"/>
      <c r="U53" s="11"/>
      <c r="V53" s="11">
        <f>90*150</f>
        <v>13500</v>
      </c>
      <c r="W53" s="11">
        <f>2.2*220</f>
        <v>484.00000000000006</v>
      </c>
      <c r="X53" s="11">
        <v>5000</v>
      </c>
      <c r="Y53" s="24">
        <f t="shared" si="12"/>
        <v>18984</v>
      </c>
      <c r="Z53" s="24">
        <f t="shared" si="2"/>
        <v>8602.236</v>
      </c>
      <c r="AA53" s="24"/>
      <c r="AB53" s="24">
        <f t="shared" si="16"/>
        <v>3267.516</v>
      </c>
      <c r="AC53" s="26">
        <f t="shared" si="3"/>
        <v>1558.3600000000004</v>
      </c>
      <c r="AD53" s="8"/>
      <c r="AE53" s="8"/>
      <c r="AF53" s="26"/>
      <c r="AG53" s="24">
        <f t="shared" si="4"/>
        <v>7868.7119999999995</v>
      </c>
      <c r="AH53" s="24">
        <v>57500</v>
      </c>
      <c r="AI53" s="24">
        <f t="shared" si="13"/>
        <v>152589.22100000002</v>
      </c>
    </row>
    <row r="54" spans="1:35" ht="15.75">
      <c r="A54" s="3" t="s">
        <v>45</v>
      </c>
      <c r="B54" s="4" t="s">
        <v>47</v>
      </c>
      <c r="C54" s="3" t="s">
        <v>2</v>
      </c>
      <c r="D54" s="18">
        <v>366.8</v>
      </c>
      <c r="E54" s="11">
        <f t="shared" si="5"/>
        <v>1584.576</v>
      </c>
      <c r="F54" s="11">
        <f t="shared" si="6"/>
        <v>5237.904</v>
      </c>
      <c r="G54" s="11">
        <f t="shared" si="7"/>
        <v>5193.888</v>
      </c>
      <c r="H54" s="11">
        <f t="shared" si="8"/>
        <v>1144.4160000000002</v>
      </c>
      <c r="I54" s="11">
        <f t="shared" si="9"/>
        <v>264.096</v>
      </c>
      <c r="J54" s="11">
        <f t="shared" si="10"/>
        <v>792.288</v>
      </c>
      <c r="K54" s="11">
        <f>8*8*4+8*6*2</f>
        <v>352</v>
      </c>
      <c r="L54" s="8">
        <f>144.73*12</f>
        <v>1736.7599999999998</v>
      </c>
      <c r="M54" s="8"/>
      <c r="N54" s="8"/>
      <c r="O54" s="16">
        <f t="shared" si="0"/>
        <v>1008.7</v>
      </c>
      <c r="P54" s="24">
        <f t="shared" si="11"/>
        <v>17314.628</v>
      </c>
      <c r="Q54" s="24"/>
      <c r="R54" s="26">
        <f t="shared" si="1"/>
        <v>13534.920000000002</v>
      </c>
      <c r="S54" s="11"/>
      <c r="T54" s="11"/>
      <c r="U54" s="11">
        <v>74532</v>
      </c>
      <c r="V54" s="11"/>
      <c r="W54" s="11"/>
      <c r="X54" s="11">
        <v>2000</v>
      </c>
      <c r="Y54" s="24">
        <f t="shared" si="12"/>
        <v>76532</v>
      </c>
      <c r="Z54" s="24">
        <f t="shared" si="2"/>
        <v>5678.064</v>
      </c>
      <c r="AA54" s="24"/>
      <c r="AB54" s="24">
        <f t="shared" si="16"/>
        <v>2156.784</v>
      </c>
      <c r="AC54" s="26">
        <f t="shared" si="3"/>
        <v>1029.44</v>
      </c>
      <c r="AD54" s="8"/>
      <c r="AE54" s="8"/>
      <c r="AF54" s="26"/>
      <c r="AG54" s="24">
        <f t="shared" si="4"/>
        <v>5193.888</v>
      </c>
      <c r="AH54" s="24">
        <v>57500</v>
      </c>
      <c r="AI54" s="24">
        <f t="shared" si="13"/>
        <v>178939.72400000002</v>
      </c>
    </row>
    <row r="55" spans="1:35" ht="15.75">
      <c r="A55" s="3" t="s">
        <v>45</v>
      </c>
      <c r="B55" s="4" t="s">
        <v>48</v>
      </c>
      <c r="C55" s="3" t="s">
        <v>2</v>
      </c>
      <c r="D55" s="18">
        <v>582.9</v>
      </c>
      <c r="E55" s="11">
        <f t="shared" si="5"/>
        <v>2518.1279999999997</v>
      </c>
      <c r="F55" s="11">
        <f t="shared" si="6"/>
        <v>8323.812</v>
      </c>
      <c r="G55" s="11">
        <f t="shared" si="7"/>
        <v>8253.863999999998</v>
      </c>
      <c r="H55" s="11">
        <f t="shared" si="8"/>
        <v>1818.6480000000001</v>
      </c>
      <c r="I55" s="11">
        <f t="shared" si="9"/>
        <v>419.688</v>
      </c>
      <c r="J55" s="11">
        <f t="shared" si="10"/>
        <v>1259.0639999999999</v>
      </c>
      <c r="K55" s="11">
        <f>10*8+10*6*2</f>
        <v>200</v>
      </c>
      <c r="L55" s="8"/>
      <c r="M55" s="8"/>
      <c r="N55" s="8"/>
      <c r="O55" s="16">
        <f t="shared" si="0"/>
        <v>1602.9750000000001</v>
      </c>
      <c r="P55" s="24">
        <f t="shared" si="11"/>
        <v>24396.178999999993</v>
      </c>
      <c r="Q55" s="24"/>
      <c r="R55" s="26">
        <f t="shared" si="1"/>
        <v>21509.01</v>
      </c>
      <c r="S55" s="11">
        <f>513.7*80+43*700</f>
        <v>71196</v>
      </c>
      <c r="T55" s="11"/>
      <c r="U55" s="11"/>
      <c r="V55" s="11"/>
      <c r="W55" s="11">
        <f>2*220</f>
        <v>440</v>
      </c>
      <c r="X55" s="11"/>
      <c r="Y55" s="24">
        <f t="shared" si="12"/>
        <v>71636</v>
      </c>
      <c r="Z55" s="24">
        <f t="shared" si="2"/>
        <v>9023.292000000001</v>
      </c>
      <c r="AA55" s="24"/>
      <c r="AB55" s="24">
        <f t="shared" si="16"/>
        <v>3427.4519999999998</v>
      </c>
      <c r="AC55" s="26">
        <f t="shared" si="3"/>
        <v>1634.52</v>
      </c>
      <c r="AD55" s="8"/>
      <c r="AE55" s="8"/>
      <c r="AF55" s="26"/>
      <c r="AG55" s="24">
        <f t="shared" si="4"/>
        <v>8253.863999999998</v>
      </c>
      <c r="AH55" s="24">
        <v>57500</v>
      </c>
      <c r="AI55" s="24">
        <f t="shared" si="13"/>
        <v>197380.31699999998</v>
      </c>
    </row>
    <row r="56" spans="1:35" ht="15.75">
      <c r="A56" s="3" t="s">
        <v>45</v>
      </c>
      <c r="B56" s="4" t="s">
        <v>49</v>
      </c>
      <c r="C56" s="3" t="s">
        <v>2</v>
      </c>
      <c r="D56" s="18">
        <v>2139</v>
      </c>
      <c r="E56" s="11">
        <f t="shared" si="5"/>
        <v>9240.48</v>
      </c>
      <c r="F56" s="11">
        <f t="shared" si="6"/>
        <v>30544.92</v>
      </c>
      <c r="G56" s="11">
        <f t="shared" si="7"/>
        <v>30288.239999999998</v>
      </c>
      <c r="H56" s="11">
        <f t="shared" si="8"/>
        <v>6673.68</v>
      </c>
      <c r="I56" s="11">
        <f t="shared" si="9"/>
        <v>1540.08</v>
      </c>
      <c r="J56" s="11">
        <f t="shared" si="10"/>
        <v>4620.24</v>
      </c>
      <c r="K56" s="11">
        <f>39*8+39*6*2</f>
        <v>780</v>
      </c>
      <c r="L56" s="8">
        <f>144.73*3</f>
        <v>434.18999999999994</v>
      </c>
      <c r="M56" s="8"/>
      <c r="N56" s="8">
        <f>1279*20.77</f>
        <v>26564.829999999998</v>
      </c>
      <c r="O56" s="16">
        <f t="shared" si="0"/>
        <v>5882.25</v>
      </c>
      <c r="P56" s="24">
        <f t="shared" si="11"/>
        <v>116568.90999999999</v>
      </c>
      <c r="Q56" s="24"/>
      <c r="R56" s="26">
        <f t="shared" si="1"/>
        <v>78929.1</v>
      </c>
      <c r="S56" s="11">
        <f>683.3*80+52*700</f>
        <v>91064</v>
      </c>
      <c r="T56" s="11"/>
      <c r="U56" s="11"/>
      <c r="V56" s="11"/>
      <c r="W56" s="11">
        <f>3.4*220</f>
        <v>748</v>
      </c>
      <c r="X56" s="11"/>
      <c r="Y56" s="24">
        <f t="shared" si="12"/>
        <v>91812</v>
      </c>
      <c r="Z56" s="24">
        <f t="shared" si="2"/>
        <v>33111.72</v>
      </c>
      <c r="AA56" s="24"/>
      <c r="AB56" s="24">
        <f t="shared" si="16"/>
        <v>12577.32</v>
      </c>
      <c r="AC56" s="26">
        <f t="shared" si="3"/>
        <v>5991.599999999999</v>
      </c>
      <c r="AD56" s="8"/>
      <c r="AE56" s="8"/>
      <c r="AF56" s="26"/>
      <c r="AG56" s="24">
        <f t="shared" si="4"/>
        <v>30288.239999999998</v>
      </c>
      <c r="AH56" s="24">
        <v>57500</v>
      </c>
      <c r="AI56" s="24">
        <f t="shared" si="13"/>
        <v>426778.88999999996</v>
      </c>
    </row>
    <row r="57" spans="1:35" ht="15.75">
      <c r="A57" s="3" t="s">
        <v>45</v>
      </c>
      <c r="B57" s="4" t="s">
        <v>50</v>
      </c>
      <c r="C57" s="3" t="s">
        <v>2</v>
      </c>
      <c r="D57" s="18">
        <v>751.7</v>
      </c>
      <c r="E57" s="11">
        <f t="shared" si="5"/>
        <v>3247.344</v>
      </c>
      <c r="F57" s="11">
        <f t="shared" si="6"/>
        <v>10734.276</v>
      </c>
      <c r="G57" s="11">
        <f t="shared" si="7"/>
        <v>10644.072</v>
      </c>
      <c r="H57" s="11">
        <f t="shared" si="8"/>
        <v>2345.304</v>
      </c>
      <c r="I57" s="11">
        <f t="shared" si="9"/>
        <v>541.224</v>
      </c>
      <c r="J57" s="11">
        <f t="shared" si="10"/>
        <v>1623.672</v>
      </c>
      <c r="K57" s="11">
        <f>9*6*2</f>
        <v>108</v>
      </c>
      <c r="L57" s="8">
        <f>144.73*2</f>
        <v>289.46</v>
      </c>
      <c r="M57" s="8"/>
      <c r="N57" s="8"/>
      <c r="O57" s="16">
        <f t="shared" si="0"/>
        <v>2067.175</v>
      </c>
      <c r="P57" s="24">
        <f t="shared" si="11"/>
        <v>31600.526999999995</v>
      </c>
      <c r="Q57" s="24"/>
      <c r="R57" s="26">
        <f t="shared" si="1"/>
        <v>27737.730000000003</v>
      </c>
      <c r="S57" s="11"/>
      <c r="T57" s="11"/>
      <c r="U57" s="11"/>
      <c r="V57" s="11"/>
      <c r="W57" s="11">
        <f>7*220</f>
        <v>1540</v>
      </c>
      <c r="X57" s="11"/>
      <c r="Y57" s="24">
        <f t="shared" si="12"/>
        <v>1540</v>
      </c>
      <c r="Z57" s="24">
        <f t="shared" si="2"/>
        <v>11636.316</v>
      </c>
      <c r="AA57" s="24"/>
      <c r="AB57" s="24">
        <f t="shared" si="16"/>
        <v>4419.996</v>
      </c>
      <c r="AC57" s="26">
        <f t="shared" si="3"/>
        <v>2107.1600000000003</v>
      </c>
      <c r="AD57" s="8"/>
      <c r="AE57" s="8"/>
      <c r="AF57" s="26"/>
      <c r="AG57" s="24">
        <f t="shared" si="4"/>
        <v>10644.072</v>
      </c>
      <c r="AH57" s="24">
        <v>57500</v>
      </c>
      <c r="AI57" s="24">
        <f t="shared" si="13"/>
        <v>147185.801</v>
      </c>
    </row>
    <row r="58" spans="1:35" ht="15.75">
      <c r="A58" s="3" t="s">
        <v>45</v>
      </c>
      <c r="B58" s="4" t="s">
        <v>51</v>
      </c>
      <c r="C58" s="3" t="s">
        <v>2</v>
      </c>
      <c r="D58" s="18">
        <v>836.2</v>
      </c>
      <c r="E58" s="11">
        <f t="shared" si="5"/>
        <v>3612.384</v>
      </c>
      <c r="F58" s="11">
        <f t="shared" si="6"/>
        <v>11940.936</v>
      </c>
      <c r="G58" s="11">
        <f t="shared" si="7"/>
        <v>11840.592</v>
      </c>
      <c r="H58" s="11">
        <f t="shared" si="8"/>
        <v>2608.944</v>
      </c>
      <c r="I58" s="11">
        <f t="shared" si="9"/>
        <v>602.0640000000001</v>
      </c>
      <c r="J58" s="11">
        <f t="shared" si="10"/>
        <v>1806.192</v>
      </c>
      <c r="K58" s="11">
        <f>16*8*4+16*6*2</f>
        <v>704</v>
      </c>
      <c r="L58" s="8">
        <f>144.73*3</f>
        <v>434.18999999999994</v>
      </c>
      <c r="M58" s="8"/>
      <c r="N58" s="8"/>
      <c r="O58" s="16">
        <f t="shared" si="0"/>
        <v>2299.55</v>
      </c>
      <c r="P58" s="24">
        <f t="shared" si="11"/>
        <v>35848.852</v>
      </c>
      <c r="Q58" s="24"/>
      <c r="R58" s="26">
        <f t="shared" si="1"/>
        <v>30855.780000000006</v>
      </c>
      <c r="S58" s="11"/>
      <c r="T58" s="11"/>
      <c r="U58" s="11"/>
      <c r="V58" s="11"/>
      <c r="W58" s="11"/>
      <c r="X58" s="11"/>
      <c r="Y58" s="24">
        <f t="shared" si="12"/>
        <v>0</v>
      </c>
      <c r="Z58" s="24">
        <f t="shared" si="2"/>
        <v>12944.376</v>
      </c>
      <c r="AA58" s="24"/>
      <c r="AB58" s="24">
        <f t="shared" si="16"/>
        <v>4916.856</v>
      </c>
      <c r="AC58" s="26">
        <f t="shared" si="3"/>
        <v>2343.76</v>
      </c>
      <c r="AD58" s="8"/>
      <c r="AE58" s="8"/>
      <c r="AF58" s="26"/>
      <c r="AG58" s="24">
        <f t="shared" si="4"/>
        <v>11840.592</v>
      </c>
      <c r="AH58" s="24">
        <v>57500</v>
      </c>
      <c r="AI58" s="24">
        <f t="shared" si="13"/>
        <v>156250.21600000001</v>
      </c>
    </row>
    <row r="59" spans="1:35" ht="15.75">
      <c r="A59" s="3" t="s">
        <v>45</v>
      </c>
      <c r="B59" s="4" t="s">
        <v>52</v>
      </c>
      <c r="C59" s="3" t="s">
        <v>2</v>
      </c>
      <c r="D59" s="18">
        <v>1330.7</v>
      </c>
      <c r="E59" s="11">
        <f t="shared" si="5"/>
        <v>5748.624</v>
      </c>
      <c r="F59" s="11">
        <f t="shared" si="6"/>
        <v>19002.396</v>
      </c>
      <c r="G59" s="11">
        <f t="shared" si="7"/>
        <v>18842.712</v>
      </c>
      <c r="H59" s="11">
        <f t="shared" si="8"/>
        <v>4151.784000000001</v>
      </c>
      <c r="I59" s="11">
        <f t="shared" si="9"/>
        <v>958.104</v>
      </c>
      <c r="J59" s="11">
        <f t="shared" si="10"/>
        <v>2874.312</v>
      </c>
      <c r="K59" s="11">
        <f>18*8*4+18*6*2</f>
        <v>792</v>
      </c>
      <c r="L59" s="8">
        <f>144.73*3</f>
        <v>434.18999999999994</v>
      </c>
      <c r="M59" s="8"/>
      <c r="N59" s="8">
        <f>931*20.77</f>
        <v>19336.87</v>
      </c>
      <c r="O59" s="16">
        <f t="shared" si="0"/>
        <v>3659.4250000000006</v>
      </c>
      <c r="P59" s="24">
        <f t="shared" si="11"/>
        <v>75800.417</v>
      </c>
      <c r="Q59" s="24"/>
      <c r="R59" s="26">
        <f t="shared" si="1"/>
        <v>49102.83</v>
      </c>
      <c r="S59" s="11"/>
      <c r="T59" s="11"/>
      <c r="U59" s="11"/>
      <c r="V59" s="11">
        <f>156*150</f>
        <v>23400</v>
      </c>
      <c r="W59" s="11"/>
      <c r="X59" s="11"/>
      <c r="Y59" s="24">
        <f t="shared" si="12"/>
        <v>23400</v>
      </c>
      <c r="Z59" s="24">
        <f t="shared" si="2"/>
        <v>20599.236</v>
      </c>
      <c r="AA59" s="24"/>
      <c r="AB59" s="24">
        <f t="shared" si="16"/>
        <v>7824.516</v>
      </c>
      <c r="AC59" s="26">
        <f t="shared" si="3"/>
        <v>3728.3600000000006</v>
      </c>
      <c r="AD59" s="8"/>
      <c r="AE59" s="8"/>
      <c r="AF59" s="26"/>
      <c r="AG59" s="24">
        <f t="shared" si="4"/>
        <v>18842.712</v>
      </c>
      <c r="AH59" s="24">
        <v>57500</v>
      </c>
      <c r="AI59" s="24">
        <f t="shared" si="13"/>
        <v>256798.071</v>
      </c>
    </row>
    <row r="60" spans="1:35" ht="15.75">
      <c r="A60" s="3" t="s">
        <v>45</v>
      </c>
      <c r="B60" s="4" t="s">
        <v>53</v>
      </c>
      <c r="C60" s="3" t="s">
        <v>2</v>
      </c>
      <c r="D60" s="18">
        <v>1251.5</v>
      </c>
      <c r="E60" s="11">
        <f t="shared" si="5"/>
        <v>5406.48</v>
      </c>
      <c r="F60" s="11">
        <f t="shared" si="6"/>
        <v>17871.42</v>
      </c>
      <c r="G60" s="11">
        <f t="shared" si="7"/>
        <v>17721.239999999998</v>
      </c>
      <c r="H60" s="11">
        <f t="shared" si="8"/>
        <v>3904.68</v>
      </c>
      <c r="I60" s="11">
        <f t="shared" si="9"/>
        <v>901.08</v>
      </c>
      <c r="J60" s="11">
        <f t="shared" si="10"/>
        <v>2703.24</v>
      </c>
      <c r="K60" s="11">
        <f>24*8*4+24*6*2</f>
        <v>1056</v>
      </c>
      <c r="L60" s="8">
        <f>144.73*3</f>
        <v>434.18999999999994</v>
      </c>
      <c r="M60" s="8"/>
      <c r="N60" s="8">
        <f>1730*20.77</f>
        <v>35932.1</v>
      </c>
      <c r="O60" s="16">
        <f t="shared" si="0"/>
        <v>3441.625</v>
      </c>
      <c r="P60" s="24">
        <f t="shared" si="11"/>
        <v>89372.055</v>
      </c>
      <c r="Q60" s="24"/>
      <c r="R60" s="26">
        <f t="shared" si="1"/>
        <v>46180.35</v>
      </c>
      <c r="S60" s="11">
        <f>635.2*80</f>
        <v>50816</v>
      </c>
      <c r="T60" s="11"/>
      <c r="U60" s="11">
        <v>58100</v>
      </c>
      <c r="V60" s="11">
        <f>306*150</f>
        <v>45900</v>
      </c>
      <c r="W60" s="11">
        <f>3*220</f>
        <v>660</v>
      </c>
      <c r="X60" s="11"/>
      <c r="Y60" s="24">
        <f t="shared" si="12"/>
        <v>155476</v>
      </c>
      <c r="Z60" s="24">
        <f t="shared" si="2"/>
        <v>19373.22</v>
      </c>
      <c r="AA60" s="24"/>
      <c r="AB60" s="24">
        <f t="shared" si="16"/>
        <v>7358.82</v>
      </c>
      <c r="AC60" s="26">
        <f t="shared" si="3"/>
        <v>3506.6000000000004</v>
      </c>
      <c r="AD60" s="8"/>
      <c r="AE60" s="8"/>
      <c r="AF60" s="26"/>
      <c r="AG60" s="24">
        <f t="shared" si="4"/>
        <v>17721.239999999998</v>
      </c>
      <c r="AH60" s="24">
        <v>57500</v>
      </c>
      <c r="AI60" s="24">
        <f t="shared" si="13"/>
        <v>396488.285</v>
      </c>
    </row>
    <row r="61" spans="1:35" ht="15">
      <c r="A61" s="3" t="s">
        <v>45</v>
      </c>
      <c r="B61" s="4" t="s">
        <v>54</v>
      </c>
      <c r="C61" s="3" t="s">
        <v>2</v>
      </c>
      <c r="D61" s="20">
        <v>1770.8</v>
      </c>
      <c r="E61" s="11">
        <f t="shared" si="5"/>
        <v>7649.856</v>
      </c>
      <c r="F61" s="11">
        <f t="shared" si="6"/>
        <v>25287.023999999998</v>
      </c>
      <c r="G61" s="11">
        <f t="shared" si="7"/>
        <v>25074.528</v>
      </c>
      <c r="H61" s="11">
        <f t="shared" si="8"/>
        <v>5524.896000000001</v>
      </c>
      <c r="I61" s="11">
        <f t="shared" si="9"/>
        <v>1274.9759999999999</v>
      </c>
      <c r="J61" s="11">
        <f t="shared" si="10"/>
        <v>3824.928</v>
      </c>
      <c r="K61" s="11">
        <f>32*8*4+32*6*2</f>
        <v>1408</v>
      </c>
      <c r="L61" s="8">
        <f>144.73*3</f>
        <v>434.18999999999994</v>
      </c>
      <c r="M61" s="8"/>
      <c r="N61" s="8"/>
      <c r="O61" s="16">
        <f t="shared" si="0"/>
        <v>4869.700000000001</v>
      </c>
      <c r="P61" s="24">
        <f t="shared" si="11"/>
        <v>75348.098</v>
      </c>
      <c r="Q61" s="24">
        <f>D61*1.27*5+D61*1.34*7</f>
        <v>27854.684000000005</v>
      </c>
      <c r="R61" s="26">
        <f t="shared" si="1"/>
        <v>65342.52</v>
      </c>
      <c r="S61" s="11"/>
      <c r="T61" s="11"/>
      <c r="U61" s="11"/>
      <c r="V61" s="11">
        <f>234*150</f>
        <v>35100</v>
      </c>
      <c r="W61" s="11">
        <f>11*220</f>
        <v>2420</v>
      </c>
      <c r="X61" s="11"/>
      <c r="Y61" s="24">
        <f t="shared" si="12"/>
        <v>37520</v>
      </c>
      <c r="Z61" s="24">
        <f t="shared" si="2"/>
        <v>27411.983999999997</v>
      </c>
      <c r="AA61" s="24"/>
      <c r="AB61" s="24">
        <f t="shared" si="16"/>
        <v>10412.304</v>
      </c>
      <c r="AC61" s="26">
        <f t="shared" si="3"/>
        <v>4960.64</v>
      </c>
      <c r="AD61" s="8"/>
      <c r="AE61" s="8"/>
      <c r="AF61" s="26"/>
      <c r="AG61" s="24">
        <f t="shared" si="4"/>
        <v>25074.528</v>
      </c>
      <c r="AH61" s="24"/>
      <c r="AI61" s="24">
        <f t="shared" si="13"/>
        <v>273924.75800000003</v>
      </c>
    </row>
    <row r="62" spans="1:35" ht="15.75">
      <c r="A62" s="5" t="s">
        <v>55</v>
      </c>
      <c r="B62" s="5" t="s">
        <v>56</v>
      </c>
      <c r="C62" s="6" t="s">
        <v>2</v>
      </c>
      <c r="D62" s="21">
        <v>393.3</v>
      </c>
      <c r="E62" s="11">
        <f t="shared" si="5"/>
        <v>1699.056</v>
      </c>
      <c r="F62" s="11">
        <f t="shared" si="6"/>
        <v>5616.324</v>
      </c>
      <c r="G62" s="11">
        <f t="shared" si="7"/>
        <v>5569.128</v>
      </c>
      <c r="H62" s="11">
        <f t="shared" si="8"/>
        <v>1227.096</v>
      </c>
      <c r="I62" s="11">
        <f t="shared" si="9"/>
        <v>283.176</v>
      </c>
      <c r="J62" s="11">
        <f t="shared" si="10"/>
        <v>849.528</v>
      </c>
      <c r="K62" s="11">
        <f>8*6*2</f>
        <v>96</v>
      </c>
      <c r="L62" s="8"/>
      <c r="M62" s="8"/>
      <c r="N62" s="8"/>
      <c r="O62" s="16">
        <f t="shared" si="0"/>
        <v>1081.575</v>
      </c>
      <c r="P62" s="24">
        <f t="shared" si="11"/>
        <v>16421.882999999998</v>
      </c>
      <c r="Q62" s="24"/>
      <c r="R62" s="26">
        <f t="shared" si="1"/>
        <v>14512.770000000002</v>
      </c>
      <c r="S62" s="11"/>
      <c r="T62" s="11"/>
      <c r="U62" s="11"/>
      <c r="V62" s="11"/>
      <c r="W62" s="11"/>
      <c r="X62" s="11"/>
      <c r="Y62" s="24">
        <f t="shared" si="12"/>
        <v>0</v>
      </c>
      <c r="Z62" s="24">
        <f t="shared" si="2"/>
        <v>6088.284000000001</v>
      </c>
      <c r="AA62" s="24"/>
      <c r="AB62" s="24">
        <f t="shared" si="16"/>
        <v>2312.6040000000003</v>
      </c>
      <c r="AC62" s="26">
        <f t="shared" si="3"/>
        <v>1103.6400000000003</v>
      </c>
      <c r="AD62" s="8"/>
      <c r="AE62" s="8"/>
      <c r="AF62" s="26"/>
      <c r="AG62" s="24">
        <f t="shared" si="4"/>
        <v>5569.128</v>
      </c>
      <c r="AH62" s="24"/>
      <c r="AI62" s="24">
        <f t="shared" si="13"/>
        <v>46008.308999999994</v>
      </c>
    </row>
    <row r="63" spans="1:35" ht="15.75">
      <c r="A63" s="3" t="s">
        <v>55</v>
      </c>
      <c r="B63" s="4" t="s">
        <v>12</v>
      </c>
      <c r="C63" s="3" t="s">
        <v>2</v>
      </c>
      <c r="D63" s="18">
        <v>290.2</v>
      </c>
      <c r="E63" s="11">
        <f t="shared" si="5"/>
        <v>1253.664</v>
      </c>
      <c r="F63" s="11">
        <f t="shared" si="6"/>
        <v>4144.056</v>
      </c>
      <c r="G63" s="11">
        <f t="shared" si="7"/>
        <v>4109.232</v>
      </c>
      <c r="H63" s="11">
        <f t="shared" si="8"/>
        <v>905.424</v>
      </c>
      <c r="I63" s="11">
        <f t="shared" si="9"/>
        <v>208.944</v>
      </c>
      <c r="J63" s="11">
        <f t="shared" si="10"/>
        <v>626.832</v>
      </c>
      <c r="K63" s="11">
        <f>8*6*2</f>
        <v>96</v>
      </c>
      <c r="L63" s="8">
        <f>144.73*13</f>
        <v>1881.4899999999998</v>
      </c>
      <c r="M63" s="8"/>
      <c r="N63" s="8">
        <f>719*20.77</f>
        <v>14933.63</v>
      </c>
      <c r="O63" s="16">
        <f t="shared" si="0"/>
        <v>798.0500000000001</v>
      </c>
      <c r="P63" s="24">
        <f t="shared" si="11"/>
        <v>28957.321999999996</v>
      </c>
      <c r="Q63" s="24"/>
      <c r="R63" s="26">
        <f t="shared" si="1"/>
        <v>10708.38</v>
      </c>
      <c r="S63" s="11">
        <f>225.9*80+41*700</f>
        <v>46772</v>
      </c>
      <c r="T63" s="11"/>
      <c r="U63" s="11"/>
      <c r="V63" s="11"/>
      <c r="W63" s="11"/>
      <c r="X63" s="11">
        <v>47600</v>
      </c>
      <c r="Y63" s="24">
        <f t="shared" si="12"/>
        <v>94372</v>
      </c>
      <c r="Z63" s="24">
        <f t="shared" si="2"/>
        <v>4492.296</v>
      </c>
      <c r="AA63" s="24"/>
      <c r="AB63" s="24">
        <f t="shared" si="16"/>
        <v>1706.3759999999997</v>
      </c>
      <c r="AC63" s="26">
        <f t="shared" si="3"/>
        <v>814.9599999999999</v>
      </c>
      <c r="AD63" s="8"/>
      <c r="AE63" s="8"/>
      <c r="AF63" s="26"/>
      <c r="AG63" s="24">
        <f t="shared" si="4"/>
        <v>4109.232</v>
      </c>
      <c r="AH63" s="24"/>
      <c r="AI63" s="24">
        <f t="shared" si="13"/>
        <v>145160.56599999996</v>
      </c>
    </row>
    <row r="64" spans="1:35" ht="15.75">
      <c r="A64" s="3" t="s">
        <v>55</v>
      </c>
      <c r="B64" s="4" t="s">
        <v>13</v>
      </c>
      <c r="C64" s="3" t="s">
        <v>2</v>
      </c>
      <c r="D64" s="18">
        <v>295.9</v>
      </c>
      <c r="E64" s="11">
        <f t="shared" si="5"/>
        <v>1278.2879999999998</v>
      </c>
      <c r="F64" s="11">
        <f t="shared" si="6"/>
        <v>4225.451999999999</v>
      </c>
      <c r="G64" s="11">
        <f t="shared" si="7"/>
        <v>4189.9439999999995</v>
      </c>
      <c r="H64" s="11">
        <f t="shared" si="8"/>
        <v>923.208</v>
      </c>
      <c r="I64" s="11">
        <f t="shared" si="9"/>
        <v>213.04799999999997</v>
      </c>
      <c r="J64" s="11">
        <f t="shared" si="10"/>
        <v>639.1439999999999</v>
      </c>
      <c r="K64" s="11">
        <f>8*6*2</f>
        <v>96</v>
      </c>
      <c r="L64" s="8">
        <f>144.73*13</f>
        <v>1881.4899999999998</v>
      </c>
      <c r="M64" s="8"/>
      <c r="N64" s="8">
        <f>276*20.77</f>
        <v>5732.5199999999995</v>
      </c>
      <c r="O64" s="16">
        <f t="shared" si="0"/>
        <v>813.725</v>
      </c>
      <c r="P64" s="24">
        <f t="shared" si="11"/>
        <v>19992.818999999996</v>
      </c>
      <c r="Q64" s="24"/>
      <c r="R64" s="26">
        <f t="shared" si="1"/>
        <v>10918.71</v>
      </c>
      <c r="S64" s="11">
        <f>220.8*80+64*700</f>
        <v>62464</v>
      </c>
      <c r="T64" s="11"/>
      <c r="U64" s="11"/>
      <c r="V64" s="11"/>
      <c r="W64" s="11"/>
      <c r="X64" s="11">
        <v>59000</v>
      </c>
      <c r="Y64" s="24">
        <f t="shared" si="12"/>
        <v>121464</v>
      </c>
      <c r="Z64" s="24">
        <f t="shared" si="2"/>
        <v>4580.531999999999</v>
      </c>
      <c r="AA64" s="24"/>
      <c r="AB64" s="24">
        <f t="shared" si="16"/>
        <v>1739.8919999999998</v>
      </c>
      <c r="AC64" s="26">
        <f t="shared" si="3"/>
        <v>830.92</v>
      </c>
      <c r="AD64" s="8"/>
      <c r="AE64" s="8"/>
      <c r="AF64" s="26"/>
      <c r="AG64" s="24">
        <f t="shared" si="4"/>
        <v>4189.9439999999995</v>
      </c>
      <c r="AH64" s="24"/>
      <c r="AI64" s="24">
        <f t="shared" si="13"/>
        <v>163716.81699999998</v>
      </c>
    </row>
    <row r="65" spans="1:35" ht="15.75">
      <c r="A65" s="3" t="s">
        <v>57</v>
      </c>
      <c r="B65" s="4" t="s">
        <v>39</v>
      </c>
      <c r="C65" s="3" t="s">
        <v>2</v>
      </c>
      <c r="D65" s="18">
        <v>1286.3</v>
      </c>
      <c r="E65" s="11">
        <f t="shared" si="5"/>
        <v>5556.816</v>
      </c>
      <c r="F65" s="11">
        <f t="shared" si="6"/>
        <v>18368.363999999998</v>
      </c>
      <c r="G65" s="11">
        <f t="shared" si="7"/>
        <v>18214.007999999998</v>
      </c>
      <c r="H65" s="11">
        <f t="shared" si="8"/>
        <v>4013.256</v>
      </c>
      <c r="I65" s="11">
        <f t="shared" si="9"/>
        <v>926.136</v>
      </c>
      <c r="J65" s="11">
        <f t="shared" si="10"/>
        <v>2778.408</v>
      </c>
      <c r="K65" s="11">
        <f>32*8*4+32*6*2</f>
        <v>1408</v>
      </c>
      <c r="L65" s="8">
        <f>144.73*3</f>
        <v>434.18999999999994</v>
      </c>
      <c r="M65" s="8"/>
      <c r="N65" s="8"/>
      <c r="O65" s="16">
        <f t="shared" si="0"/>
        <v>3537.3250000000003</v>
      </c>
      <c r="P65" s="24">
        <f t="shared" si="11"/>
        <v>55236.503</v>
      </c>
      <c r="Q65" s="24">
        <f>D65*1.27*5+D65*1.34*7</f>
        <v>20233.499</v>
      </c>
      <c r="R65" s="26">
        <f t="shared" si="1"/>
        <v>47464.47</v>
      </c>
      <c r="S65" s="11"/>
      <c r="T65" s="11"/>
      <c r="U65" s="11"/>
      <c r="V65" s="11">
        <f>128*150</f>
        <v>19200</v>
      </c>
      <c r="W65" s="11"/>
      <c r="X65" s="11"/>
      <c r="Y65" s="24">
        <f t="shared" si="12"/>
        <v>19200</v>
      </c>
      <c r="Z65" s="24">
        <f t="shared" si="2"/>
        <v>19911.924</v>
      </c>
      <c r="AA65" s="24"/>
      <c r="AB65" s="24">
        <f t="shared" si="16"/>
        <v>7563.4439999999995</v>
      </c>
      <c r="AC65" s="26">
        <f t="shared" si="3"/>
        <v>3604.04</v>
      </c>
      <c r="AD65" s="8"/>
      <c r="AE65" s="8"/>
      <c r="AF65" s="26"/>
      <c r="AG65" s="24">
        <f t="shared" si="4"/>
        <v>18214.007999999998</v>
      </c>
      <c r="AH65" s="24">
        <v>57500</v>
      </c>
      <c r="AI65" s="24">
        <f t="shared" si="13"/>
        <v>248927.888</v>
      </c>
    </row>
    <row r="66" spans="1:35" ht="15.75">
      <c r="A66" s="3" t="s">
        <v>57</v>
      </c>
      <c r="B66" s="4" t="s">
        <v>58</v>
      </c>
      <c r="C66" s="3" t="s">
        <v>2</v>
      </c>
      <c r="D66" s="18">
        <v>583.1</v>
      </c>
      <c r="E66" s="11">
        <f t="shared" si="5"/>
        <v>2518.992</v>
      </c>
      <c r="F66" s="11">
        <f t="shared" si="6"/>
        <v>8326.668</v>
      </c>
      <c r="G66" s="11">
        <f t="shared" si="7"/>
        <v>8256.696</v>
      </c>
      <c r="H66" s="11">
        <f t="shared" si="8"/>
        <v>1819.2720000000004</v>
      </c>
      <c r="I66" s="11">
        <f t="shared" si="9"/>
        <v>419.832</v>
      </c>
      <c r="J66" s="11">
        <f t="shared" si="10"/>
        <v>1259.496</v>
      </c>
      <c r="K66" s="11">
        <f>6*6*2</f>
        <v>72</v>
      </c>
      <c r="L66" s="8">
        <f>144.73*20</f>
        <v>2894.6</v>
      </c>
      <c r="M66" s="8"/>
      <c r="N66" s="8"/>
      <c r="O66" s="16">
        <f t="shared" si="0"/>
        <v>1603.525</v>
      </c>
      <c r="P66" s="24">
        <f t="shared" si="11"/>
        <v>27171.081</v>
      </c>
      <c r="Q66" s="24"/>
      <c r="R66" s="26">
        <f t="shared" si="1"/>
        <v>21516.390000000003</v>
      </c>
      <c r="S66" s="11"/>
      <c r="T66" s="11"/>
      <c r="U66" s="11"/>
      <c r="V66" s="11">
        <f>125*150</f>
        <v>18750</v>
      </c>
      <c r="W66" s="11"/>
      <c r="X66" s="11"/>
      <c r="Y66" s="24">
        <f t="shared" si="12"/>
        <v>18750</v>
      </c>
      <c r="Z66" s="24">
        <f t="shared" si="2"/>
        <v>9026.388</v>
      </c>
      <c r="AA66" s="24"/>
      <c r="AB66" s="24">
        <f t="shared" si="16"/>
        <v>3428.6279999999997</v>
      </c>
      <c r="AC66" s="26">
        <f t="shared" si="3"/>
        <v>1635.0800000000002</v>
      </c>
      <c r="AD66" s="8"/>
      <c r="AE66" s="8"/>
      <c r="AF66" s="26"/>
      <c r="AG66" s="24">
        <f t="shared" si="4"/>
        <v>8256.696</v>
      </c>
      <c r="AH66" s="24">
        <v>57500</v>
      </c>
      <c r="AI66" s="24">
        <f t="shared" si="13"/>
        <v>147284.263</v>
      </c>
    </row>
    <row r="67" spans="1:35" ht="15.75">
      <c r="A67" s="3" t="s">
        <v>57</v>
      </c>
      <c r="B67" s="4" t="s">
        <v>59</v>
      </c>
      <c r="C67" s="3" t="s">
        <v>2</v>
      </c>
      <c r="D67" s="18">
        <v>1346.8</v>
      </c>
      <c r="E67" s="11">
        <f t="shared" si="5"/>
        <v>5818.1759999999995</v>
      </c>
      <c r="F67" s="11">
        <f t="shared" si="6"/>
        <v>19232.303999999996</v>
      </c>
      <c r="G67" s="11">
        <f t="shared" si="7"/>
        <v>19070.688</v>
      </c>
      <c r="H67" s="11">
        <f t="shared" si="8"/>
        <v>4202.016</v>
      </c>
      <c r="I67" s="11">
        <f t="shared" si="9"/>
        <v>969.6959999999999</v>
      </c>
      <c r="J67" s="11">
        <f t="shared" si="10"/>
        <v>2909.0879999999997</v>
      </c>
      <c r="K67" s="11">
        <f>17*8*4+17*6*2</f>
        <v>748</v>
      </c>
      <c r="L67" s="8">
        <f>144.73*23</f>
        <v>3328.79</v>
      </c>
      <c r="M67" s="8"/>
      <c r="N67" s="8"/>
      <c r="O67" s="16">
        <f aca="true" t="shared" si="17" ref="O67:O130">D67*0.55*5</f>
        <v>3703.7</v>
      </c>
      <c r="P67" s="24">
        <f t="shared" si="11"/>
        <v>59982.45799999999</v>
      </c>
      <c r="Q67" s="24"/>
      <c r="R67" s="26">
        <f aca="true" t="shared" si="18" ref="R67:R130">D67*3.18*5+D67*3*7</f>
        <v>49696.92</v>
      </c>
      <c r="S67" s="11"/>
      <c r="T67" s="11"/>
      <c r="U67" s="11">
        <v>29050</v>
      </c>
      <c r="V67" s="11">
        <f>155*150</f>
        <v>23250</v>
      </c>
      <c r="W67" s="11"/>
      <c r="X67" s="11"/>
      <c r="Y67" s="24">
        <f t="shared" si="12"/>
        <v>52300</v>
      </c>
      <c r="Z67" s="24">
        <f aca="true" t="shared" si="19" ref="Z67:Z130">D67*1.29*12</f>
        <v>20848.464</v>
      </c>
      <c r="AA67" s="24"/>
      <c r="AB67" s="24">
        <f t="shared" si="16"/>
        <v>7919.184</v>
      </c>
      <c r="AC67" s="26">
        <f aca="true" t="shared" si="20" ref="AC67:AC130">D67*0.4*7+0.48*5</f>
        <v>3773.44</v>
      </c>
      <c r="AD67" s="8"/>
      <c r="AE67" s="8"/>
      <c r="AF67" s="26"/>
      <c r="AG67" s="24">
        <f aca="true" t="shared" si="21" ref="AG67:AG130">D67*1.18*12</f>
        <v>19070.688</v>
      </c>
      <c r="AH67" s="24">
        <v>57500</v>
      </c>
      <c r="AI67" s="24">
        <f t="shared" si="13"/>
        <v>271091.154</v>
      </c>
    </row>
    <row r="68" spans="1:35" ht="15.75">
      <c r="A68" s="3" t="s">
        <v>57</v>
      </c>
      <c r="B68" s="4" t="s">
        <v>15</v>
      </c>
      <c r="C68" s="3" t="s">
        <v>2</v>
      </c>
      <c r="D68" s="18">
        <v>2024.5</v>
      </c>
      <c r="E68" s="11">
        <f aca="true" t="shared" si="22" ref="E68:E131">D68*0.36*12</f>
        <v>8745.84</v>
      </c>
      <c r="F68" s="11">
        <f aca="true" t="shared" si="23" ref="F68:F131">D68*1.19*12</f>
        <v>28909.859999999997</v>
      </c>
      <c r="G68" s="11">
        <f aca="true" t="shared" si="24" ref="G68:G131">D68*1.18*12</f>
        <v>28666.92</v>
      </c>
      <c r="H68" s="11">
        <f aca="true" t="shared" si="25" ref="H68:H131">D68*0.26*12</f>
        <v>6316.4400000000005</v>
      </c>
      <c r="I68" s="11">
        <f aca="true" t="shared" si="26" ref="I68:I131">D68*0.06*12</f>
        <v>1457.6399999999999</v>
      </c>
      <c r="J68" s="11">
        <f aca="true" t="shared" si="27" ref="J68:J131">D68*0.18*12</f>
        <v>4372.92</v>
      </c>
      <c r="K68" s="11">
        <f>48*8+48*6*2</f>
        <v>960</v>
      </c>
      <c r="L68" s="8">
        <f>144.73*3</f>
        <v>434.18999999999994</v>
      </c>
      <c r="M68" s="8"/>
      <c r="N68" s="8"/>
      <c r="O68" s="16">
        <f t="shared" si="17"/>
        <v>5567.375000000001</v>
      </c>
      <c r="P68" s="24">
        <f aca="true" t="shared" si="28" ref="P68:P131">SUM(E68:O68)</f>
        <v>85431.185</v>
      </c>
      <c r="Q68" s="24">
        <f>D68*1.27*5+D68*1.34*7</f>
        <v>31845.385000000002</v>
      </c>
      <c r="R68" s="26">
        <f t="shared" si="18"/>
        <v>74704.05</v>
      </c>
      <c r="S68" s="11"/>
      <c r="T68" s="11"/>
      <c r="U68" s="11"/>
      <c r="V68" s="11"/>
      <c r="W68" s="11"/>
      <c r="X68" s="11"/>
      <c r="Y68" s="24">
        <f aca="true" t="shared" si="29" ref="Y68:Y131">SUM(S68:X68)</f>
        <v>0</v>
      </c>
      <c r="Z68" s="24">
        <f t="shared" si="19"/>
        <v>31339.260000000002</v>
      </c>
      <c r="AA68" s="24"/>
      <c r="AB68" s="24">
        <f t="shared" si="16"/>
        <v>11904.06</v>
      </c>
      <c r="AC68" s="26">
        <f t="shared" si="20"/>
        <v>5671</v>
      </c>
      <c r="AD68" s="8"/>
      <c r="AE68" s="8"/>
      <c r="AF68" s="26"/>
      <c r="AG68" s="24">
        <f t="shared" si="21"/>
        <v>28666.92</v>
      </c>
      <c r="AH68" s="24">
        <v>57500</v>
      </c>
      <c r="AI68" s="24">
        <f aca="true" t="shared" si="30" ref="AI68:AI131">P68+Q68+R68+Y68+Z68+AA68+AB68+AC68+AF68+AG68+AH68</f>
        <v>327061.86</v>
      </c>
    </row>
    <row r="69" spans="1:35" ht="15.75">
      <c r="A69" s="3" t="s">
        <v>57</v>
      </c>
      <c r="B69" s="4" t="s">
        <v>17</v>
      </c>
      <c r="C69" s="3" t="s">
        <v>2</v>
      </c>
      <c r="D69" s="18">
        <v>2353</v>
      </c>
      <c r="E69" s="11">
        <f t="shared" si="22"/>
        <v>10164.96</v>
      </c>
      <c r="F69" s="11">
        <f t="shared" si="23"/>
        <v>33600.84</v>
      </c>
      <c r="G69" s="11">
        <f t="shared" si="24"/>
        <v>33318.479999999996</v>
      </c>
      <c r="H69" s="11">
        <f t="shared" si="25"/>
        <v>7341.36</v>
      </c>
      <c r="I69" s="11">
        <f t="shared" si="26"/>
        <v>1694.16</v>
      </c>
      <c r="J69" s="11">
        <f t="shared" si="27"/>
        <v>5082.48</v>
      </c>
      <c r="K69" s="11">
        <f>56*8+56*6*2</f>
        <v>1120</v>
      </c>
      <c r="L69" s="8">
        <f>144.73*3</f>
        <v>434.18999999999994</v>
      </c>
      <c r="M69" s="8"/>
      <c r="N69" s="8">
        <f>884*20.77</f>
        <v>18360.68</v>
      </c>
      <c r="O69" s="16">
        <f t="shared" si="17"/>
        <v>6470.75</v>
      </c>
      <c r="P69" s="24">
        <f t="shared" si="28"/>
        <v>117587.9</v>
      </c>
      <c r="Q69" s="24">
        <f>D69*1.27*5+D69*1.34*7</f>
        <v>37012.69</v>
      </c>
      <c r="R69" s="26">
        <f t="shared" si="18"/>
        <v>86825.7</v>
      </c>
      <c r="S69" s="11"/>
      <c r="T69" s="11"/>
      <c r="U69" s="11"/>
      <c r="V69" s="11"/>
      <c r="W69" s="11"/>
      <c r="X69" s="11"/>
      <c r="Y69" s="24">
        <f t="shared" si="29"/>
        <v>0</v>
      </c>
      <c r="Z69" s="24">
        <f t="shared" si="19"/>
        <v>36424.44</v>
      </c>
      <c r="AA69" s="24"/>
      <c r="AB69" s="24">
        <f t="shared" si="16"/>
        <v>13835.64</v>
      </c>
      <c r="AC69" s="26">
        <f t="shared" si="20"/>
        <v>6590.8</v>
      </c>
      <c r="AD69" s="8"/>
      <c r="AE69" s="8"/>
      <c r="AF69" s="26"/>
      <c r="AG69" s="24">
        <f t="shared" si="21"/>
        <v>33318.479999999996</v>
      </c>
      <c r="AH69" s="24">
        <v>57500</v>
      </c>
      <c r="AI69" s="24">
        <f t="shared" si="30"/>
        <v>389095.64999999997</v>
      </c>
    </row>
    <row r="70" spans="1:35" ht="15.75">
      <c r="A70" s="3" t="s">
        <v>57</v>
      </c>
      <c r="B70" s="4" t="s">
        <v>60</v>
      </c>
      <c r="C70" s="3" t="s">
        <v>2</v>
      </c>
      <c r="D70" s="18">
        <v>504.1</v>
      </c>
      <c r="E70" s="11">
        <f t="shared" si="22"/>
        <v>2177.712</v>
      </c>
      <c r="F70" s="11">
        <f t="shared" si="23"/>
        <v>7198.548000000001</v>
      </c>
      <c r="G70" s="11">
        <f t="shared" si="24"/>
        <v>7138.056</v>
      </c>
      <c r="H70" s="11">
        <f t="shared" si="25"/>
        <v>1572.792</v>
      </c>
      <c r="I70" s="11">
        <f t="shared" si="26"/>
        <v>362.952</v>
      </c>
      <c r="J70" s="11">
        <f t="shared" si="27"/>
        <v>1088.856</v>
      </c>
      <c r="K70" s="11">
        <f>8*8*4+8*6*2</f>
        <v>352</v>
      </c>
      <c r="L70" s="8">
        <f>144.73*12</f>
        <v>1736.7599999999998</v>
      </c>
      <c r="M70" s="8"/>
      <c r="N70" s="8">
        <f>415*20.77</f>
        <v>8619.55</v>
      </c>
      <c r="O70" s="16">
        <f t="shared" si="17"/>
        <v>1386.2750000000003</v>
      </c>
      <c r="P70" s="24">
        <f t="shared" si="28"/>
        <v>31633.501</v>
      </c>
      <c r="Q70" s="24"/>
      <c r="R70" s="26">
        <f t="shared" si="18"/>
        <v>18601.290000000005</v>
      </c>
      <c r="S70" s="11"/>
      <c r="T70" s="11"/>
      <c r="U70" s="11"/>
      <c r="V70" s="11"/>
      <c r="W70" s="11"/>
      <c r="X70" s="11"/>
      <c r="Y70" s="24">
        <f t="shared" si="29"/>
        <v>0</v>
      </c>
      <c r="Z70" s="24">
        <f t="shared" si="19"/>
        <v>7803.468000000001</v>
      </c>
      <c r="AA70" s="24"/>
      <c r="AB70" s="24">
        <f t="shared" si="16"/>
        <v>2964.108</v>
      </c>
      <c r="AC70" s="26">
        <f t="shared" si="20"/>
        <v>1413.88</v>
      </c>
      <c r="AD70" s="8"/>
      <c r="AE70" s="8"/>
      <c r="AF70" s="26"/>
      <c r="AG70" s="24">
        <f t="shared" si="21"/>
        <v>7138.056</v>
      </c>
      <c r="AH70" s="24">
        <v>57500</v>
      </c>
      <c r="AI70" s="24">
        <f t="shared" si="30"/>
        <v>127054.303</v>
      </c>
    </row>
    <row r="71" spans="1:35" ht="15.75">
      <c r="A71" s="3" t="s">
        <v>61</v>
      </c>
      <c r="B71" s="4" t="s">
        <v>35</v>
      </c>
      <c r="C71" s="3" t="s">
        <v>2</v>
      </c>
      <c r="D71" s="21">
        <v>90</v>
      </c>
      <c r="E71" s="11">
        <f t="shared" si="22"/>
        <v>388.79999999999995</v>
      </c>
      <c r="F71" s="11">
        <f t="shared" si="23"/>
        <v>1285.1999999999998</v>
      </c>
      <c r="G71" s="11">
        <f t="shared" si="24"/>
        <v>1274.3999999999999</v>
      </c>
      <c r="H71" s="11">
        <f t="shared" si="25"/>
        <v>280.8</v>
      </c>
      <c r="I71" s="11">
        <f t="shared" si="26"/>
        <v>64.8</v>
      </c>
      <c r="J71" s="11">
        <f t="shared" si="27"/>
        <v>194.39999999999998</v>
      </c>
      <c r="K71" s="11">
        <v>1150</v>
      </c>
      <c r="L71" s="8"/>
      <c r="M71" s="8"/>
      <c r="N71" s="8"/>
      <c r="O71" s="16">
        <f t="shared" si="17"/>
        <v>247.50000000000003</v>
      </c>
      <c r="P71" s="24">
        <f t="shared" si="28"/>
        <v>4885.9</v>
      </c>
      <c r="Q71" s="24"/>
      <c r="R71" s="26">
        <f t="shared" si="18"/>
        <v>3321</v>
      </c>
      <c r="S71" s="11"/>
      <c r="T71" s="11"/>
      <c r="U71" s="11"/>
      <c r="V71" s="11"/>
      <c r="W71" s="11"/>
      <c r="X71" s="11"/>
      <c r="Y71" s="24">
        <f t="shared" si="29"/>
        <v>0</v>
      </c>
      <c r="Z71" s="24">
        <f t="shared" si="19"/>
        <v>1393.2</v>
      </c>
      <c r="AA71" s="24"/>
      <c r="AB71" s="24">
        <f t="shared" si="16"/>
        <v>529.2</v>
      </c>
      <c r="AC71" s="26">
        <f t="shared" si="20"/>
        <v>254.4</v>
      </c>
      <c r="AD71" s="8"/>
      <c r="AE71" s="8"/>
      <c r="AF71" s="26"/>
      <c r="AG71" s="24">
        <f t="shared" si="21"/>
        <v>1274.3999999999999</v>
      </c>
      <c r="AH71" s="24"/>
      <c r="AI71" s="24">
        <f t="shared" si="30"/>
        <v>11658.1</v>
      </c>
    </row>
    <row r="72" spans="1:35" ht="15.75">
      <c r="A72" s="3" t="s">
        <v>62</v>
      </c>
      <c r="B72" s="4" t="s">
        <v>34</v>
      </c>
      <c r="C72" s="3" t="s">
        <v>2</v>
      </c>
      <c r="D72" s="18">
        <v>2717.6</v>
      </c>
      <c r="E72" s="11">
        <f t="shared" si="22"/>
        <v>11740.032</v>
      </c>
      <c r="F72" s="11">
        <f t="shared" si="23"/>
        <v>38807.328</v>
      </c>
      <c r="G72" s="11">
        <f t="shared" si="24"/>
        <v>38481.21599999999</v>
      </c>
      <c r="H72" s="11">
        <f t="shared" si="25"/>
        <v>8478.912</v>
      </c>
      <c r="I72" s="11">
        <f t="shared" si="26"/>
        <v>1956.6719999999998</v>
      </c>
      <c r="J72" s="11">
        <f t="shared" si="27"/>
        <v>5870.016</v>
      </c>
      <c r="K72" s="11">
        <f>60*6*2</f>
        <v>720</v>
      </c>
      <c r="L72" s="8">
        <f>144.73*3</f>
        <v>434.18999999999994</v>
      </c>
      <c r="M72" s="8"/>
      <c r="N72" s="8"/>
      <c r="O72" s="16">
        <f t="shared" si="17"/>
        <v>7473.400000000001</v>
      </c>
      <c r="P72" s="24">
        <f t="shared" si="28"/>
        <v>113961.766</v>
      </c>
      <c r="Q72" s="24">
        <f>D72*1.27*5+D72*1.34*7</f>
        <v>42747.848</v>
      </c>
      <c r="R72" s="26">
        <f t="shared" si="18"/>
        <v>100279.44</v>
      </c>
      <c r="S72" s="11"/>
      <c r="T72" s="11"/>
      <c r="U72" s="11"/>
      <c r="V72" s="11"/>
      <c r="W72" s="11"/>
      <c r="X72" s="11">
        <v>14650</v>
      </c>
      <c r="Y72" s="24">
        <f t="shared" si="29"/>
        <v>14650</v>
      </c>
      <c r="Z72" s="24">
        <f t="shared" si="19"/>
        <v>42068.448000000004</v>
      </c>
      <c r="AA72" s="24"/>
      <c r="AB72" s="24">
        <f t="shared" si="16"/>
        <v>15979.488000000001</v>
      </c>
      <c r="AC72" s="26">
        <f t="shared" si="20"/>
        <v>7611.679999999999</v>
      </c>
      <c r="AD72" s="8"/>
      <c r="AE72" s="8"/>
      <c r="AF72" s="26"/>
      <c r="AG72" s="24">
        <f t="shared" si="21"/>
        <v>38481.21599999999</v>
      </c>
      <c r="AH72" s="24">
        <v>57500</v>
      </c>
      <c r="AI72" s="24">
        <f t="shared" si="30"/>
        <v>433279.886</v>
      </c>
    </row>
    <row r="73" spans="1:35" ht="15.75">
      <c r="A73" s="3" t="s">
        <v>62</v>
      </c>
      <c r="B73" s="4" t="s">
        <v>63</v>
      </c>
      <c r="C73" s="3" t="s">
        <v>2</v>
      </c>
      <c r="D73" s="18">
        <v>2698.4</v>
      </c>
      <c r="E73" s="11">
        <f t="shared" si="22"/>
        <v>11657.088</v>
      </c>
      <c r="F73" s="11">
        <f t="shared" si="23"/>
        <v>38533.152</v>
      </c>
      <c r="G73" s="11">
        <f t="shared" si="24"/>
        <v>38209.344</v>
      </c>
      <c r="H73" s="11">
        <f t="shared" si="25"/>
        <v>8419.008000000002</v>
      </c>
      <c r="I73" s="11">
        <f t="shared" si="26"/>
        <v>1942.848</v>
      </c>
      <c r="J73" s="11">
        <f t="shared" si="27"/>
        <v>5828.544</v>
      </c>
      <c r="K73" s="11">
        <f>60*6*2</f>
        <v>720</v>
      </c>
      <c r="L73" s="8">
        <f>144.73*3</f>
        <v>434.18999999999994</v>
      </c>
      <c r="M73" s="8"/>
      <c r="N73" s="8"/>
      <c r="O73" s="16">
        <f t="shared" si="17"/>
        <v>7420.6</v>
      </c>
      <c r="P73" s="24">
        <f t="shared" si="28"/>
        <v>113164.774</v>
      </c>
      <c r="Q73" s="24">
        <f>D73*1.27*5+D73*1.34*7</f>
        <v>42445.832</v>
      </c>
      <c r="R73" s="26">
        <f t="shared" si="18"/>
        <v>99570.96</v>
      </c>
      <c r="S73" s="11"/>
      <c r="T73" s="11"/>
      <c r="U73" s="11"/>
      <c r="V73" s="11"/>
      <c r="W73" s="11"/>
      <c r="X73" s="11">
        <v>108730</v>
      </c>
      <c r="Y73" s="24">
        <f t="shared" si="29"/>
        <v>108730</v>
      </c>
      <c r="Z73" s="24">
        <f t="shared" si="19"/>
        <v>41771.232</v>
      </c>
      <c r="AA73" s="24"/>
      <c r="AB73" s="24">
        <f t="shared" si="16"/>
        <v>15866.592</v>
      </c>
      <c r="AC73" s="26">
        <f t="shared" si="20"/>
        <v>7557.92</v>
      </c>
      <c r="AD73" s="8"/>
      <c r="AE73" s="8"/>
      <c r="AF73" s="26"/>
      <c r="AG73" s="24">
        <f t="shared" si="21"/>
        <v>38209.344</v>
      </c>
      <c r="AH73" s="24">
        <v>57500</v>
      </c>
      <c r="AI73" s="24">
        <f t="shared" si="30"/>
        <v>524816.654</v>
      </c>
    </row>
    <row r="74" spans="1:35" ht="15.75">
      <c r="A74" s="3" t="s">
        <v>62</v>
      </c>
      <c r="B74" s="4" t="s">
        <v>35</v>
      </c>
      <c r="C74" s="3" t="s">
        <v>2</v>
      </c>
      <c r="D74" s="18">
        <v>4512.9</v>
      </c>
      <c r="E74" s="11">
        <f t="shared" si="22"/>
        <v>19495.727999999996</v>
      </c>
      <c r="F74" s="11">
        <f t="shared" si="23"/>
        <v>64444.212</v>
      </c>
      <c r="G74" s="11">
        <f t="shared" si="24"/>
        <v>63902.66399999999</v>
      </c>
      <c r="H74" s="11">
        <f t="shared" si="25"/>
        <v>14080.248</v>
      </c>
      <c r="I74" s="11">
        <f t="shared" si="26"/>
        <v>3249.2879999999996</v>
      </c>
      <c r="J74" s="11">
        <f t="shared" si="27"/>
        <v>9747.863999999998</v>
      </c>
      <c r="K74" s="11">
        <f>90*6*2</f>
        <v>1080</v>
      </c>
      <c r="L74" s="8">
        <f>144.73*3</f>
        <v>434.18999999999994</v>
      </c>
      <c r="M74" s="8"/>
      <c r="N74" s="8"/>
      <c r="O74" s="16">
        <f t="shared" si="17"/>
        <v>12410.474999999999</v>
      </c>
      <c r="P74" s="24">
        <f t="shared" si="28"/>
        <v>188844.669</v>
      </c>
      <c r="Q74" s="24">
        <f>D74*1.27*5+D74*1.34*7</f>
        <v>70987.917</v>
      </c>
      <c r="R74" s="26">
        <f t="shared" si="18"/>
        <v>166526.01</v>
      </c>
      <c r="S74" s="11"/>
      <c r="T74" s="11"/>
      <c r="U74" s="11"/>
      <c r="V74" s="11"/>
      <c r="W74" s="11"/>
      <c r="X74" s="11"/>
      <c r="Y74" s="24">
        <f t="shared" si="29"/>
        <v>0</v>
      </c>
      <c r="Z74" s="24">
        <f t="shared" si="19"/>
        <v>69859.692</v>
      </c>
      <c r="AA74" s="24"/>
      <c r="AB74" s="24">
        <f t="shared" si="16"/>
        <v>26535.852</v>
      </c>
      <c r="AC74" s="26">
        <f t="shared" si="20"/>
        <v>12638.519999999999</v>
      </c>
      <c r="AD74" s="8"/>
      <c r="AE74" s="8"/>
      <c r="AF74" s="26"/>
      <c r="AG74" s="24">
        <f t="shared" si="21"/>
        <v>63902.66399999999</v>
      </c>
      <c r="AH74" s="24">
        <v>57500</v>
      </c>
      <c r="AI74" s="24">
        <f t="shared" si="30"/>
        <v>656795.324</v>
      </c>
    </row>
    <row r="75" spans="1:35" ht="15.75">
      <c r="A75" s="3" t="s">
        <v>62</v>
      </c>
      <c r="B75" s="4" t="s">
        <v>3</v>
      </c>
      <c r="C75" s="3" t="s">
        <v>2</v>
      </c>
      <c r="D75" s="18">
        <v>120.7</v>
      </c>
      <c r="E75" s="11">
        <f t="shared" si="22"/>
        <v>521.424</v>
      </c>
      <c r="F75" s="11">
        <f t="shared" si="23"/>
        <v>1723.596</v>
      </c>
      <c r="G75" s="11">
        <f t="shared" si="24"/>
        <v>1709.1119999999999</v>
      </c>
      <c r="H75" s="11">
        <f t="shared" si="25"/>
        <v>376.584</v>
      </c>
      <c r="I75" s="11">
        <f t="shared" si="26"/>
        <v>86.904</v>
      </c>
      <c r="J75" s="11">
        <f t="shared" si="27"/>
        <v>260.712</v>
      </c>
      <c r="K75" s="11">
        <f>2*230</f>
        <v>460</v>
      </c>
      <c r="L75" s="8"/>
      <c r="M75" s="8"/>
      <c r="N75" s="8"/>
      <c r="O75" s="16">
        <f t="shared" si="17"/>
        <v>331.925</v>
      </c>
      <c r="P75" s="24">
        <f t="shared" si="28"/>
        <v>5470.256999999999</v>
      </c>
      <c r="Q75" s="24"/>
      <c r="R75" s="26">
        <f t="shared" si="18"/>
        <v>4453.83</v>
      </c>
      <c r="S75" s="11"/>
      <c r="T75" s="11"/>
      <c r="U75" s="11"/>
      <c r="V75" s="11"/>
      <c r="W75" s="11"/>
      <c r="X75" s="11"/>
      <c r="Y75" s="24">
        <f t="shared" si="29"/>
        <v>0</v>
      </c>
      <c r="Z75" s="24">
        <f t="shared" si="19"/>
        <v>1868.4360000000001</v>
      </c>
      <c r="AA75" s="24"/>
      <c r="AB75" s="24">
        <f t="shared" si="16"/>
        <v>709.716</v>
      </c>
      <c r="AC75" s="26">
        <f t="shared" si="20"/>
        <v>340.36</v>
      </c>
      <c r="AD75" s="8"/>
      <c r="AE75" s="8"/>
      <c r="AF75" s="26"/>
      <c r="AG75" s="24">
        <f t="shared" si="21"/>
        <v>1709.1119999999999</v>
      </c>
      <c r="AH75" s="24"/>
      <c r="AI75" s="24">
        <f t="shared" si="30"/>
        <v>14551.711</v>
      </c>
    </row>
    <row r="76" spans="1:35" ht="15.75">
      <c r="A76" s="3" t="s">
        <v>62</v>
      </c>
      <c r="B76" s="4" t="s">
        <v>64</v>
      </c>
      <c r="C76" s="3" t="s">
        <v>2</v>
      </c>
      <c r="D76" s="18">
        <v>1535.3</v>
      </c>
      <c r="E76" s="11">
        <f t="shared" si="22"/>
        <v>6632.495999999999</v>
      </c>
      <c r="F76" s="11">
        <f t="shared" si="23"/>
        <v>21924.084</v>
      </c>
      <c r="G76" s="11">
        <f t="shared" si="24"/>
        <v>21739.847999999998</v>
      </c>
      <c r="H76" s="11">
        <f t="shared" si="25"/>
        <v>4790.136</v>
      </c>
      <c r="I76" s="11">
        <f t="shared" si="26"/>
        <v>1105.416</v>
      </c>
      <c r="J76" s="11">
        <f t="shared" si="27"/>
        <v>3316.2479999999996</v>
      </c>
      <c r="K76" s="11">
        <f>33*6*2</f>
        <v>396</v>
      </c>
      <c r="L76" s="8">
        <f>144.73*2</f>
        <v>289.46</v>
      </c>
      <c r="M76" s="8"/>
      <c r="N76" s="8"/>
      <c r="O76" s="16">
        <f t="shared" si="17"/>
        <v>4222.075000000001</v>
      </c>
      <c r="P76" s="24">
        <f t="shared" si="28"/>
        <v>64415.76299999999</v>
      </c>
      <c r="Q76" s="24">
        <f>D76*1.27*5+D76*1.34*7</f>
        <v>24150.269</v>
      </c>
      <c r="R76" s="26">
        <f t="shared" si="18"/>
        <v>56652.56999999999</v>
      </c>
      <c r="S76" s="11"/>
      <c r="T76" s="11"/>
      <c r="U76" s="11"/>
      <c r="V76" s="11"/>
      <c r="W76" s="11"/>
      <c r="X76" s="11"/>
      <c r="Y76" s="24">
        <f t="shared" si="29"/>
        <v>0</v>
      </c>
      <c r="Z76" s="24">
        <f t="shared" si="19"/>
        <v>23766.444</v>
      </c>
      <c r="AA76" s="24"/>
      <c r="AB76" s="24">
        <f t="shared" si="16"/>
        <v>9027.563999999998</v>
      </c>
      <c r="AC76" s="26">
        <f t="shared" si="20"/>
        <v>4301.24</v>
      </c>
      <c r="AD76" s="8">
        <v>59274.96</v>
      </c>
      <c r="AE76" s="8">
        <v>3475.88</v>
      </c>
      <c r="AF76" s="26">
        <f>SUM(AD76:AE76)</f>
        <v>62750.84</v>
      </c>
      <c r="AG76" s="24">
        <f t="shared" si="21"/>
        <v>21739.847999999998</v>
      </c>
      <c r="AH76" s="24"/>
      <c r="AI76" s="24">
        <f t="shared" si="30"/>
        <v>266804.53799999994</v>
      </c>
    </row>
    <row r="77" spans="1:35" ht="15.75">
      <c r="A77" s="3" t="s">
        <v>62</v>
      </c>
      <c r="B77" s="4" t="s">
        <v>64</v>
      </c>
      <c r="C77" s="3" t="s">
        <v>65</v>
      </c>
      <c r="D77" s="18">
        <v>1274</v>
      </c>
      <c r="E77" s="11">
        <f t="shared" si="22"/>
        <v>5503.68</v>
      </c>
      <c r="F77" s="11">
        <f t="shared" si="23"/>
        <v>18192.72</v>
      </c>
      <c r="G77" s="11">
        <f t="shared" si="24"/>
        <v>18039.84</v>
      </c>
      <c r="H77" s="11">
        <f t="shared" si="25"/>
        <v>3974.88</v>
      </c>
      <c r="I77" s="11">
        <f t="shared" si="26"/>
        <v>917.28</v>
      </c>
      <c r="J77" s="11">
        <f t="shared" si="27"/>
        <v>2751.84</v>
      </c>
      <c r="K77" s="11">
        <f>28*6*2</f>
        <v>336</v>
      </c>
      <c r="L77" s="8">
        <f>144.73*2</f>
        <v>289.46</v>
      </c>
      <c r="M77" s="8"/>
      <c r="N77" s="8"/>
      <c r="O77" s="16">
        <f t="shared" si="17"/>
        <v>3503.5</v>
      </c>
      <c r="P77" s="24">
        <f t="shared" si="28"/>
        <v>53509.200000000004</v>
      </c>
      <c r="Q77" s="24">
        <f>D77*1.27*5+D77*1.34*7</f>
        <v>20040.02</v>
      </c>
      <c r="R77" s="26">
        <f t="shared" si="18"/>
        <v>47010.600000000006</v>
      </c>
      <c r="S77" s="11"/>
      <c r="T77" s="11"/>
      <c r="U77" s="11"/>
      <c r="V77" s="11"/>
      <c r="W77" s="11"/>
      <c r="X77" s="11"/>
      <c r="Y77" s="24">
        <f t="shared" si="29"/>
        <v>0</v>
      </c>
      <c r="Z77" s="24">
        <f t="shared" si="19"/>
        <v>19721.52</v>
      </c>
      <c r="AA77" s="24"/>
      <c r="AB77" s="24">
        <f t="shared" si="16"/>
        <v>7491.12</v>
      </c>
      <c r="AC77" s="26">
        <f t="shared" si="20"/>
        <v>3569.6000000000004</v>
      </c>
      <c r="AD77" s="8"/>
      <c r="AE77" s="8"/>
      <c r="AF77" s="26"/>
      <c r="AG77" s="24">
        <f t="shared" si="21"/>
        <v>18039.84</v>
      </c>
      <c r="AH77" s="24"/>
      <c r="AI77" s="24">
        <f t="shared" si="30"/>
        <v>169381.9</v>
      </c>
    </row>
    <row r="78" spans="1:35" ht="15.75">
      <c r="A78" s="3" t="s">
        <v>62</v>
      </c>
      <c r="B78" s="4" t="s">
        <v>66</v>
      </c>
      <c r="C78" s="3" t="s">
        <v>2</v>
      </c>
      <c r="D78" s="18">
        <v>9523.6</v>
      </c>
      <c r="E78" s="11">
        <f t="shared" si="22"/>
        <v>41141.952000000005</v>
      </c>
      <c r="F78" s="11">
        <f t="shared" si="23"/>
        <v>135997.008</v>
      </c>
      <c r="G78" s="11">
        <f t="shared" si="24"/>
        <v>134854.176</v>
      </c>
      <c r="H78" s="11">
        <f t="shared" si="25"/>
        <v>29713.631999999998</v>
      </c>
      <c r="I78" s="11">
        <f t="shared" si="26"/>
        <v>6856.992</v>
      </c>
      <c r="J78" s="11">
        <f t="shared" si="27"/>
        <v>20570.976000000002</v>
      </c>
      <c r="K78" s="11">
        <f>180*6*2</f>
        <v>2160</v>
      </c>
      <c r="L78" s="8">
        <f>144.73*3</f>
        <v>434.18999999999994</v>
      </c>
      <c r="M78" s="8"/>
      <c r="N78" s="8"/>
      <c r="O78" s="16">
        <f t="shared" si="17"/>
        <v>26189.9</v>
      </c>
      <c r="P78" s="24">
        <f t="shared" si="28"/>
        <v>397918.8260000001</v>
      </c>
      <c r="Q78" s="24">
        <f>D78*1.27*5+D78*1.34*7</f>
        <v>149806.228</v>
      </c>
      <c r="R78" s="26">
        <f t="shared" si="18"/>
        <v>351420.8400000001</v>
      </c>
      <c r="S78" s="11">
        <f>271*120</f>
        <v>32520</v>
      </c>
      <c r="T78" s="11"/>
      <c r="U78" s="11"/>
      <c r="V78" s="11"/>
      <c r="W78" s="11">
        <f>4.6*220</f>
        <v>1011.9999999999999</v>
      </c>
      <c r="X78" s="11"/>
      <c r="Y78" s="24">
        <f t="shared" si="29"/>
        <v>33532</v>
      </c>
      <c r="Z78" s="24">
        <f t="shared" si="19"/>
        <v>147425.328</v>
      </c>
      <c r="AA78" s="24"/>
      <c r="AB78" s="24">
        <f t="shared" si="16"/>
        <v>55998.768000000004</v>
      </c>
      <c r="AC78" s="26">
        <f t="shared" si="20"/>
        <v>26668.480000000003</v>
      </c>
      <c r="AD78" s="8"/>
      <c r="AE78" s="8"/>
      <c r="AF78" s="26"/>
      <c r="AG78" s="24">
        <f t="shared" si="21"/>
        <v>134854.176</v>
      </c>
      <c r="AH78" s="24"/>
      <c r="AI78" s="24">
        <f t="shared" si="30"/>
        <v>1297624.6460000002</v>
      </c>
    </row>
    <row r="79" spans="1:35" ht="15.75">
      <c r="A79" s="5" t="s">
        <v>67</v>
      </c>
      <c r="B79" s="5" t="s">
        <v>1</v>
      </c>
      <c r="C79" s="6"/>
      <c r="D79" s="21">
        <v>66.6</v>
      </c>
      <c r="E79" s="11">
        <f t="shared" si="22"/>
        <v>287.71199999999993</v>
      </c>
      <c r="F79" s="11">
        <f t="shared" si="23"/>
        <v>951.0479999999999</v>
      </c>
      <c r="G79" s="11">
        <f t="shared" si="24"/>
        <v>943.0559999999999</v>
      </c>
      <c r="H79" s="11">
        <f t="shared" si="25"/>
        <v>207.79199999999997</v>
      </c>
      <c r="I79" s="11">
        <f t="shared" si="26"/>
        <v>47.952</v>
      </c>
      <c r="J79" s="11">
        <f t="shared" si="27"/>
        <v>143.85599999999997</v>
      </c>
      <c r="K79" s="11">
        <f>2*230</f>
        <v>460</v>
      </c>
      <c r="L79" s="8">
        <f>144.73*6</f>
        <v>868.3799999999999</v>
      </c>
      <c r="M79" s="8"/>
      <c r="N79" s="8"/>
      <c r="O79" s="16">
        <f t="shared" si="17"/>
        <v>183.15</v>
      </c>
      <c r="P79" s="24">
        <f t="shared" si="28"/>
        <v>4092.9459999999995</v>
      </c>
      <c r="Q79" s="24"/>
      <c r="R79" s="26">
        <f t="shared" si="18"/>
        <v>2457.54</v>
      </c>
      <c r="S79" s="11"/>
      <c r="T79" s="11"/>
      <c r="U79" s="11"/>
      <c r="V79" s="11"/>
      <c r="W79" s="11"/>
      <c r="X79" s="11"/>
      <c r="Y79" s="24">
        <f t="shared" si="29"/>
        <v>0</v>
      </c>
      <c r="Z79" s="24">
        <f t="shared" si="19"/>
        <v>1030.968</v>
      </c>
      <c r="AA79" s="24"/>
      <c r="AB79" s="24">
        <f t="shared" si="16"/>
        <v>391.60799999999995</v>
      </c>
      <c r="AC79" s="26">
        <f t="shared" si="20"/>
        <v>188.88000000000002</v>
      </c>
      <c r="AD79" s="8"/>
      <c r="AE79" s="8"/>
      <c r="AF79" s="26"/>
      <c r="AG79" s="24">
        <f t="shared" si="21"/>
        <v>943.0559999999999</v>
      </c>
      <c r="AH79" s="24"/>
      <c r="AI79" s="24">
        <f t="shared" si="30"/>
        <v>9104.998</v>
      </c>
    </row>
    <row r="80" spans="1:35" ht="15.75">
      <c r="A80" s="5" t="s">
        <v>67</v>
      </c>
      <c r="B80" s="5" t="s">
        <v>68</v>
      </c>
      <c r="C80" s="6"/>
      <c r="D80" s="18">
        <v>69.2</v>
      </c>
      <c r="E80" s="11">
        <f t="shared" si="22"/>
        <v>298.94399999999996</v>
      </c>
      <c r="F80" s="11">
        <f t="shared" si="23"/>
        <v>988.1759999999999</v>
      </c>
      <c r="G80" s="11">
        <f t="shared" si="24"/>
        <v>979.8720000000001</v>
      </c>
      <c r="H80" s="11">
        <f t="shared" si="25"/>
        <v>215.904</v>
      </c>
      <c r="I80" s="11">
        <f t="shared" si="26"/>
        <v>49.824</v>
      </c>
      <c r="J80" s="11">
        <f t="shared" si="27"/>
        <v>149.47199999999998</v>
      </c>
      <c r="K80" s="11">
        <f>2*230</f>
        <v>460</v>
      </c>
      <c r="L80" s="8">
        <f>144.73*6</f>
        <v>868.3799999999999</v>
      </c>
      <c r="M80" s="8"/>
      <c r="N80" s="8"/>
      <c r="O80" s="16">
        <f t="shared" si="17"/>
        <v>190.3</v>
      </c>
      <c r="P80" s="24">
        <f t="shared" si="28"/>
        <v>4200.872</v>
      </c>
      <c r="Q80" s="24"/>
      <c r="R80" s="26">
        <f t="shared" si="18"/>
        <v>2553.4800000000005</v>
      </c>
      <c r="S80" s="11"/>
      <c r="T80" s="11"/>
      <c r="U80" s="11"/>
      <c r="V80" s="11"/>
      <c r="W80" s="11"/>
      <c r="X80" s="11"/>
      <c r="Y80" s="24">
        <f t="shared" si="29"/>
        <v>0</v>
      </c>
      <c r="Z80" s="24">
        <f t="shared" si="19"/>
        <v>1071.216</v>
      </c>
      <c r="AA80" s="24"/>
      <c r="AB80" s="24">
        <f t="shared" si="16"/>
        <v>406.896</v>
      </c>
      <c r="AC80" s="26">
        <f t="shared" si="20"/>
        <v>196.16000000000003</v>
      </c>
      <c r="AD80" s="8"/>
      <c r="AE80" s="8"/>
      <c r="AF80" s="26"/>
      <c r="AG80" s="24">
        <f t="shared" si="21"/>
        <v>979.8720000000001</v>
      </c>
      <c r="AH80" s="24"/>
      <c r="AI80" s="24">
        <f t="shared" si="30"/>
        <v>9408.496000000001</v>
      </c>
    </row>
    <row r="81" spans="1:35" ht="15.75">
      <c r="A81" s="5" t="s">
        <v>67</v>
      </c>
      <c r="B81" s="5" t="s">
        <v>69</v>
      </c>
      <c r="C81" s="6"/>
      <c r="D81" s="21">
        <v>155.7</v>
      </c>
      <c r="E81" s="11">
        <f t="shared" si="22"/>
        <v>672.6239999999999</v>
      </c>
      <c r="F81" s="11">
        <f t="shared" si="23"/>
        <v>2223.3959999999997</v>
      </c>
      <c r="G81" s="11">
        <f t="shared" si="24"/>
        <v>2204.7119999999995</v>
      </c>
      <c r="H81" s="11">
        <f t="shared" si="25"/>
        <v>485.784</v>
      </c>
      <c r="I81" s="11">
        <f t="shared" si="26"/>
        <v>112.10399999999998</v>
      </c>
      <c r="J81" s="11">
        <f t="shared" si="27"/>
        <v>336.31199999999995</v>
      </c>
      <c r="K81" s="11">
        <f>2*230</f>
        <v>460</v>
      </c>
      <c r="L81" s="8">
        <f>144.73*6</f>
        <v>868.3799999999999</v>
      </c>
      <c r="M81" s="8"/>
      <c r="N81" s="8"/>
      <c r="O81" s="16">
        <f t="shared" si="17"/>
        <v>428.175</v>
      </c>
      <c r="P81" s="24">
        <f t="shared" si="28"/>
        <v>7791.486999999999</v>
      </c>
      <c r="Q81" s="24"/>
      <c r="R81" s="26">
        <f t="shared" si="18"/>
        <v>5745.33</v>
      </c>
      <c r="S81" s="11"/>
      <c r="T81" s="11"/>
      <c r="U81" s="11"/>
      <c r="V81" s="11"/>
      <c r="W81" s="11"/>
      <c r="X81" s="11"/>
      <c r="Y81" s="24">
        <f t="shared" si="29"/>
        <v>0</v>
      </c>
      <c r="Z81" s="24">
        <f t="shared" si="19"/>
        <v>2410.236</v>
      </c>
      <c r="AA81" s="24"/>
      <c r="AB81" s="24">
        <f t="shared" si="16"/>
        <v>915.5159999999998</v>
      </c>
      <c r="AC81" s="26">
        <f t="shared" si="20"/>
        <v>438.36</v>
      </c>
      <c r="AD81" s="8"/>
      <c r="AE81" s="8"/>
      <c r="AF81" s="26"/>
      <c r="AG81" s="24">
        <f t="shared" si="21"/>
        <v>2204.7119999999995</v>
      </c>
      <c r="AH81" s="24"/>
      <c r="AI81" s="24">
        <f t="shared" si="30"/>
        <v>19505.641</v>
      </c>
    </row>
    <row r="82" spans="1:35" ht="15.75">
      <c r="A82" s="5" t="s">
        <v>67</v>
      </c>
      <c r="B82" s="5" t="s">
        <v>35</v>
      </c>
      <c r="C82" s="6"/>
      <c r="D82" s="21">
        <v>187.1</v>
      </c>
      <c r="E82" s="11">
        <f t="shared" si="22"/>
        <v>808.2719999999999</v>
      </c>
      <c r="F82" s="11">
        <f t="shared" si="23"/>
        <v>2671.7879999999996</v>
      </c>
      <c r="G82" s="11">
        <f t="shared" si="24"/>
        <v>2649.336</v>
      </c>
      <c r="H82" s="11">
        <f t="shared" si="25"/>
        <v>583.752</v>
      </c>
      <c r="I82" s="11">
        <f t="shared" si="26"/>
        <v>134.712</v>
      </c>
      <c r="J82" s="11">
        <f t="shared" si="27"/>
        <v>404.13599999999997</v>
      </c>
      <c r="K82" s="11">
        <f>4*230</f>
        <v>920</v>
      </c>
      <c r="L82" s="8">
        <f>144.73*8</f>
        <v>1157.84</v>
      </c>
      <c r="M82" s="8"/>
      <c r="N82" s="8"/>
      <c r="O82" s="16">
        <f t="shared" si="17"/>
        <v>514.525</v>
      </c>
      <c r="P82" s="24">
        <f t="shared" si="28"/>
        <v>9844.360999999999</v>
      </c>
      <c r="Q82" s="24"/>
      <c r="R82" s="26">
        <f t="shared" si="18"/>
        <v>6903.99</v>
      </c>
      <c r="S82" s="11"/>
      <c r="T82" s="11"/>
      <c r="U82" s="11"/>
      <c r="V82" s="11"/>
      <c r="W82" s="11"/>
      <c r="X82" s="11"/>
      <c r="Y82" s="24">
        <f t="shared" si="29"/>
        <v>0</v>
      </c>
      <c r="Z82" s="24">
        <f t="shared" si="19"/>
        <v>2896.308</v>
      </c>
      <c r="AA82" s="24"/>
      <c r="AB82" s="24">
        <f t="shared" si="16"/>
        <v>1100.1480000000001</v>
      </c>
      <c r="AC82" s="26">
        <f t="shared" si="20"/>
        <v>526.28</v>
      </c>
      <c r="AD82" s="8"/>
      <c r="AE82" s="8"/>
      <c r="AF82" s="26"/>
      <c r="AG82" s="24">
        <f t="shared" si="21"/>
        <v>2649.336</v>
      </c>
      <c r="AH82" s="24"/>
      <c r="AI82" s="24">
        <f t="shared" si="30"/>
        <v>23920.423</v>
      </c>
    </row>
    <row r="83" spans="1:35" ht="15.75">
      <c r="A83" s="3" t="s">
        <v>67</v>
      </c>
      <c r="B83" s="4" t="s">
        <v>70</v>
      </c>
      <c r="C83" s="3" t="s">
        <v>2</v>
      </c>
      <c r="D83" s="21">
        <v>69.6</v>
      </c>
      <c r="E83" s="11">
        <f t="shared" si="22"/>
        <v>300.67199999999997</v>
      </c>
      <c r="F83" s="11">
        <f t="shared" si="23"/>
        <v>993.8879999999998</v>
      </c>
      <c r="G83" s="11">
        <f t="shared" si="24"/>
        <v>985.5359999999998</v>
      </c>
      <c r="H83" s="11">
        <f t="shared" si="25"/>
        <v>217.152</v>
      </c>
      <c r="I83" s="11">
        <f t="shared" si="26"/>
        <v>50.111999999999995</v>
      </c>
      <c r="J83" s="11">
        <f t="shared" si="27"/>
        <v>150.33599999999998</v>
      </c>
      <c r="K83" s="11">
        <f aca="true" t="shared" si="31" ref="K83:K89">2*230</f>
        <v>460</v>
      </c>
      <c r="L83" s="8"/>
      <c r="M83" s="8"/>
      <c r="N83" s="8"/>
      <c r="O83" s="16">
        <f t="shared" si="17"/>
        <v>191.4</v>
      </c>
      <c r="P83" s="24">
        <f t="shared" si="28"/>
        <v>3349.0959999999995</v>
      </c>
      <c r="Q83" s="24"/>
      <c r="R83" s="26">
        <f t="shared" si="18"/>
        <v>2568.24</v>
      </c>
      <c r="S83" s="11"/>
      <c r="T83" s="11"/>
      <c r="U83" s="11"/>
      <c r="V83" s="11"/>
      <c r="W83" s="11"/>
      <c r="X83" s="11"/>
      <c r="Y83" s="24">
        <f t="shared" si="29"/>
        <v>0</v>
      </c>
      <c r="Z83" s="24">
        <f t="shared" si="19"/>
        <v>1077.408</v>
      </c>
      <c r="AA83" s="24"/>
      <c r="AB83" s="24">
        <f t="shared" si="16"/>
        <v>409.248</v>
      </c>
      <c r="AC83" s="26">
        <f t="shared" si="20"/>
        <v>197.28</v>
      </c>
      <c r="AD83" s="8"/>
      <c r="AE83" s="8"/>
      <c r="AF83" s="26"/>
      <c r="AG83" s="24">
        <f t="shared" si="21"/>
        <v>985.5359999999998</v>
      </c>
      <c r="AH83" s="24"/>
      <c r="AI83" s="24">
        <f t="shared" si="30"/>
        <v>8586.807999999997</v>
      </c>
    </row>
    <row r="84" spans="1:35" ht="15.75">
      <c r="A84" s="3" t="s">
        <v>67</v>
      </c>
      <c r="B84" s="4" t="s">
        <v>71</v>
      </c>
      <c r="C84" s="3" t="s">
        <v>2</v>
      </c>
      <c r="D84" s="21">
        <v>108.3</v>
      </c>
      <c r="E84" s="11">
        <f t="shared" si="22"/>
        <v>467.856</v>
      </c>
      <c r="F84" s="11">
        <f t="shared" si="23"/>
        <v>1546.524</v>
      </c>
      <c r="G84" s="11">
        <f t="shared" si="24"/>
        <v>1533.528</v>
      </c>
      <c r="H84" s="11">
        <f t="shared" si="25"/>
        <v>337.896</v>
      </c>
      <c r="I84" s="11">
        <f t="shared" si="26"/>
        <v>77.976</v>
      </c>
      <c r="J84" s="11">
        <f t="shared" si="27"/>
        <v>233.928</v>
      </c>
      <c r="K84" s="11">
        <f t="shared" si="31"/>
        <v>460</v>
      </c>
      <c r="L84" s="8"/>
      <c r="M84" s="8"/>
      <c r="N84" s="8"/>
      <c r="O84" s="16">
        <f t="shared" si="17"/>
        <v>297.82500000000005</v>
      </c>
      <c r="P84" s="24">
        <f t="shared" si="28"/>
        <v>4955.533</v>
      </c>
      <c r="Q84" s="24"/>
      <c r="R84" s="26">
        <f t="shared" si="18"/>
        <v>3996.2699999999995</v>
      </c>
      <c r="S84" s="11"/>
      <c r="T84" s="11"/>
      <c r="U84" s="11"/>
      <c r="V84" s="11"/>
      <c r="W84" s="11"/>
      <c r="X84" s="11"/>
      <c r="Y84" s="24">
        <f t="shared" si="29"/>
        <v>0</v>
      </c>
      <c r="Z84" s="24">
        <f t="shared" si="19"/>
        <v>1676.484</v>
      </c>
      <c r="AA84" s="24"/>
      <c r="AB84" s="24">
        <f t="shared" si="16"/>
        <v>636.804</v>
      </c>
      <c r="AC84" s="26">
        <f t="shared" si="20"/>
        <v>305.64</v>
      </c>
      <c r="AD84" s="8"/>
      <c r="AE84" s="8"/>
      <c r="AF84" s="26"/>
      <c r="AG84" s="24">
        <f t="shared" si="21"/>
        <v>1533.528</v>
      </c>
      <c r="AH84" s="24"/>
      <c r="AI84" s="24">
        <f t="shared" si="30"/>
        <v>13104.259</v>
      </c>
    </row>
    <row r="85" spans="1:35" ht="15.75">
      <c r="A85" s="3" t="s">
        <v>67</v>
      </c>
      <c r="B85" s="4" t="s">
        <v>44</v>
      </c>
      <c r="C85" s="3" t="s">
        <v>2</v>
      </c>
      <c r="D85" s="18">
        <v>118</v>
      </c>
      <c r="E85" s="11">
        <f t="shared" si="22"/>
        <v>509.76</v>
      </c>
      <c r="F85" s="11">
        <f t="shared" si="23"/>
        <v>1685.04</v>
      </c>
      <c r="G85" s="11">
        <f t="shared" si="24"/>
        <v>1670.8799999999997</v>
      </c>
      <c r="H85" s="11">
        <f t="shared" si="25"/>
        <v>368.15999999999997</v>
      </c>
      <c r="I85" s="11">
        <f t="shared" si="26"/>
        <v>84.96000000000001</v>
      </c>
      <c r="J85" s="11">
        <f t="shared" si="27"/>
        <v>254.88</v>
      </c>
      <c r="K85" s="11">
        <f t="shared" si="31"/>
        <v>460</v>
      </c>
      <c r="L85" s="8">
        <f>144.73*6</f>
        <v>868.3799999999999</v>
      </c>
      <c r="M85" s="8"/>
      <c r="N85" s="8"/>
      <c r="O85" s="16">
        <f t="shared" si="17"/>
        <v>324.5</v>
      </c>
      <c r="P85" s="24">
        <f t="shared" si="28"/>
        <v>6226.56</v>
      </c>
      <c r="Q85" s="24"/>
      <c r="R85" s="26">
        <f t="shared" si="18"/>
        <v>4354.2</v>
      </c>
      <c r="S85" s="11"/>
      <c r="T85" s="11"/>
      <c r="U85" s="11"/>
      <c r="V85" s="11"/>
      <c r="W85" s="11"/>
      <c r="X85" s="11"/>
      <c r="Y85" s="24">
        <f t="shared" si="29"/>
        <v>0</v>
      </c>
      <c r="Z85" s="24">
        <f t="shared" si="19"/>
        <v>1826.6399999999999</v>
      </c>
      <c r="AA85" s="24"/>
      <c r="AB85" s="24">
        <f t="shared" si="16"/>
        <v>693.84</v>
      </c>
      <c r="AC85" s="26">
        <f t="shared" si="20"/>
        <v>332.8</v>
      </c>
      <c r="AD85" s="8"/>
      <c r="AE85" s="8"/>
      <c r="AF85" s="26"/>
      <c r="AG85" s="24">
        <f t="shared" si="21"/>
        <v>1670.8799999999997</v>
      </c>
      <c r="AH85" s="24"/>
      <c r="AI85" s="24">
        <f t="shared" si="30"/>
        <v>15104.919999999998</v>
      </c>
    </row>
    <row r="86" spans="1:35" ht="15.75">
      <c r="A86" s="5" t="s">
        <v>67</v>
      </c>
      <c r="B86" s="5" t="s">
        <v>3</v>
      </c>
      <c r="C86" s="6"/>
      <c r="D86" s="18">
        <v>70</v>
      </c>
      <c r="E86" s="11">
        <f t="shared" si="22"/>
        <v>302.4</v>
      </c>
      <c r="F86" s="11">
        <f t="shared" si="23"/>
        <v>999.5999999999999</v>
      </c>
      <c r="G86" s="11">
        <f t="shared" si="24"/>
        <v>991.1999999999999</v>
      </c>
      <c r="H86" s="11">
        <f t="shared" si="25"/>
        <v>218.39999999999998</v>
      </c>
      <c r="I86" s="11">
        <f t="shared" si="26"/>
        <v>50.400000000000006</v>
      </c>
      <c r="J86" s="11">
        <f t="shared" si="27"/>
        <v>151.2</v>
      </c>
      <c r="K86" s="11">
        <f t="shared" si="31"/>
        <v>460</v>
      </c>
      <c r="L86" s="8">
        <f>144.73*6</f>
        <v>868.3799999999999</v>
      </c>
      <c r="M86" s="8"/>
      <c r="N86" s="8"/>
      <c r="O86" s="16">
        <f t="shared" si="17"/>
        <v>192.5</v>
      </c>
      <c r="P86" s="24">
        <f t="shared" si="28"/>
        <v>4234.08</v>
      </c>
      <c r="Q86" s="24"/>
      <c r="R86" s="26">
        <f t="shared" si="18"/>
        <v>2583</v>
      </c>
      <c r="S86" s="11"/>
      <c r="T86" s="11"/>
      <c r="U86" s="11"/>
      <c r="V86" s="11"/>
      <c r="W86" s="11"/>
      <c r="X86" s="11"/>
      <c r="Y86" s="24">
        <f t="shared" si="29"/>
        <v>0</v>
      </c>
      <c r="Z86" s="24">
        <f t="shared" si="19"/>
        <v>1083.6</v>
      </c>
      <c r="AA86" s="24"/>
      <c r="AB86" s="24">
        <f t="shared" si="16"/>
        <v>411.59999999999997</v>
      </c>
      <c r="AC86" s="26">
        <f t="shared" si="20"/>
        <v>198.4</v>
      </c>
      <c r="AD86" s="8"/>
      <c r="AE86" s="8"/>
      <c r="AF86" s="26"/>
      <c r="AG86" s="24">
        <f t="shared" si="21"/>
        <v>991.1999999999999</v>
      </c>
      <c r="AH86" s="24"/>
      <c r="AI86" s="24">
        <f t="shared" si="30"/>
        <v>9501.880000000001</v>
      </c>
    </row>
    <row r="87" spans="1:35" s="44" customFormat="1" ht="15.75">
      <c r="A87" s="40" t="s">
        <v>67</v>
      </c>
      <c r="B87" s="40" t="s">
        <v>64</v>
      </c>
      <c r="C87" s="6"/>
      <c r="D87" s="21">
        <v>110.7</v>
      </c>
      <c r="E87" s="41">
        <f t="shared" si="22"/>
        <v>478.22399999999993</v>
      </c>
      <c r="F87" s="41">
        <f t="shared" si="23"/>
        <v>1580.796</v>
      </c>
      <c r="G87" s="41">
        <f t="shared" si="24"/>
        <v>1567.5120000000002</v>
      </c>
      <c r="H87" s="41">
        <f t="shared" si="25"/>
        <v>345.384</v>
      </c>
      <c r="I87" s="41">
        <f t="shared" si="26"/>
        <v>79.70400000000001</v>
      </c>
      <c r="J87" s="41">
        <f t="shared" si="27"/>
        <v>239.11199999999997</v>
      </c>
      <c r="K87" s="41">
        <f t="shared" si="31"/>
        <v>460</v>
      </c>
      <c r="L87" s="3">
        <f>144.73*7</f>
        <v>1013.1099999999999</v>
      </c>
      <c r="M87" s="3"/>
      <c r="N87" s="3"/>
      <c r="O87" s="41">
        <f t="shared" si="17"/>
        <v>304.425</v>
      </c>
      <c r="P87" s="42">
        <f t="shared" si="28"/>
        <v>6068.267</v>
      </c>
      <c r="Q87" s="42">
        <f>D87*1.27*5+D87*1.34*7</f>
        <v>1741.3110000000001</v>
      </c>
      <c r="R87" s="43">
        <f t="shared" si="18"/>
        <v>4084.8300000000004</v>
      </c>
      <c r="S87" s="41"/>
      <c r="T87" s="41"/>
      <c r="U87" s="41"/>
      <c r="V87" s="41"/>
      <c r="W87" s="41"/>
      <c r="X87" s="41"/>
      <c r="Y87" s="42">
        <f t="shared" si="29"/>
        <v>0</v>
      </c>
      <c r="Z87" s="42">
        <f t="shared" si="19"/>
        <v>1713.636</v>
      </c>
      <c r="AA87" s="42"/>
      <c r="AB87" s="42">
        <f t="shared" si="16"/>
        <v>650.916</v>
      </c>
      <c r="AC87" s="43">
        <f t="shared" si="20"/>
        <v>312.36</v>
      </c>
      <c r="AD87" s="3"/>
      <c r="AE87" s="3"/>
      <c r="AF87" s="43"/>
      <c r="AG87" s="42">
        <f t="shared" si="21"/>
        <v>1567.5120000000002</v>
      </c>
      <c r="AH87" s="42"/>
      <c r="AI87" s="42">
        <f t="shared" si="30"/>
        <v>16138.832</v>
      </c>
    </row>
    <row r="88" spans="1:35" ht="15.75">
      <c r="A88" s="3" t="s">
        <v>67</v>
      </c>
      <c r="B88" s="4" t="s">
        <v>72</v>
      </c>
      <c r="C88" s="3" t="s">
        <v>2</v>
      </c>
      <c r="D88" s="18">
        <v>90.6</v>
      </c>
      <c r="E88" s="11">
        <f t="shared" si="22"/>
        <v>391.392</v>
      </c>
      <c r="F88" s="11">
        <f t="shared" si="23"/>
        <v>1293.768</v>
      </c>
      <c r="G88" s="11">
        <f t="shared" si="24"/>
        <v>1282.8959999999997</v>
      </c>
      <c r="H88" s="11">
        <f t="shared" si="25"/>
        <v>282.672</v>
      </c>
      <c r="I88" s="11">
        <f t="shared" si="26"/>
        <v>65.23199999999999</v>
      </c>
      <c r="J88" s="11">
        <f t="shared" si="27"/>
        <v>195.696</v>
      </c>
      <c r="K88" s="11">
        <f t="shared" si="31"/>
        <v>460</v>
      </c>
      <c r="L88" s="8">
        <f>144.73*6</f>
        <v>868.3799999999999</v>
      </c>
      <c r="M88" s="8"/>
      <c r="N88" s="8"/>
      <c r="O88" s="16">
        <f t="shared" si="17"/>
        <v>249.14999999999998</v>
      </c>
      <c r="P88" s="24">
        <f t="shared" si="28"/>
        <v>5089.185999999999</v>
      </c>
      <c r="Q88" s="24"/>
      <c r="R88" s="26">
        <f t="shared" si="18"/>
        <v>3343.1399999999994</v>
      </c>
      <c r="S88" s="11"/>
      <c r="T88" s="11"/>
      <c r="U88" s="11"/>
      <c r="V88" s="11"/>
      <c r="W88" s="11"/>
      <c r="X88" s="11"/>
      <c r="Y88" s="24">
        <f t="shared" si="29"/>
        <v>0</v>
      </c>
      <c r="Z88" s="24">
        <f t="shared" si="19"/>
        <v>1402.4879999999998</v>
      </c>
      <c r="AA88" s="24"/>
      <c r="AB88" s="24">
        <f t="shared" si="16"/>
        <v>532.728</v>
      </c>
      <c r="AC88" s="26">
        <f t="shared" si="20"/>
        <v>256.08</v>
      </c>
      <c r="AD88" s="8"/>
      <c r="AE88" s="8"/>
      <c r="AF88" s="26"/>
      <c r="AG88" s="24">
        <f t="shared" si="21"/>
        <v>1282.8959999999997</v>
      </c>
      <c r="AH88" s="24"/>
      <c r="AI88" s="24">
        <f t="shared" si="30"/>
        <v>11906.517999999996</v>
      </c>
    </row>
    <row r="89" spans="1:35" ht="15.75">
      <c r="A89" s="5" t="s">
        <v>67</v>
      </c>
      <c r="B89" s="5" t="s">
        <v>66</v>
      </c>
      <c r="C89" s="6"/>
      <c r="D89" s="18">
        <v>94.7</v>
      </c>
      <c r="E89" s="11">
        <f t="shared" si="22"/>
        <v>409.104</v>
      </c>
      <c r="F89" s="11">
        <f t="shared" si="23"/>
        <v>1352.316</v>
      </c>
      <c r="G89" s="11">
        <f t="shared" si="24"/>
        <v>1340.952</v>
      </c>
      <c r="H89" s="11">
        <f t="shared" si="25"/>
        <v>295.464</v>
      </c>
      <c r="I89" s="11">
        <f t="shared" si="26"/>
        <v>68.184</v>
      </c>
      <c r="J89" s="11">
        <f t="shared" si="27"/>
        <v>204.552</v>
      </c>
      <c r="K89" s="11">
        <f t="shared" si="31"/>
        <v>460</v>
      </c>
      <c r="L89" s="8"/>
      <c r="M89" s="8"/>
      <c r="N89" s="8"/>
      <c r="O89" s="16">
        <f t="shared" si="17"/>
        <v>260.42500000000007</v>
      </c>
      <c r="P89" s="24">
        <f t="shared" si="28"/>
        <v>4390.997</v>
      </c>
      <c r="Q89" s="24"/>
      <c r="R89" s="26">
        <f t="shared" si="18"/>
        <v>3494.4300000000003</v>
      </c>
      <c r="S89" s="11"/>
      <c r="T89" s="11"/>
      <c r="U89" s="11"/>
      <c r="V89" s="11"/>
      <c r="W89" s="11"/>
      <c r="X89" s="11"/>
      <c r="Y89" s="24">
        <f t="shared" si="29"/>
        <v>0</v>
      </c>
      <c r="Z89" s="24">
        <f t="shared" si="19"/>
        <v>1465.9560000000001</v>
      </c>
      <c r="AA89" s="24"/>
      <c r="AB89" s="24">
        <f t="shared" si="16"/>
        <v>556.836</v>
      </c>
      <c r="AC89" s="26">
        <f t="shared" si="20"/>
        <v>267.56</v>
      </c>
      <c r="AD89" s="8"/>
      <c r="AE89" s="8"/>
      <c r="AF89" s="26"/>
      <c r="AG89" s="24">
        <f t="shared" si="21"/>
        <v>1340.952</v>
      </c>
      <c r="AH89" s="24">
        <v>57500</v>
      </c>
      <c r="AI89" s="24">
        <f t="shared" si="30"/>
        <v>69016.731</v>
      </c>
    </row>
    <row r="90" spans="1:35" ht="15.75">
      <c r="A90" s="3" t="s">
        <v>73</v>
      </c>
      <c r="B90" s="4" t="s">
        <v>34</v>
      </c>
      <c r="C90" s="3" t="s">
        <v>2</v>
      </c>
      <c r="D90" s="18">
        <v>607.3</v>
      </c>
      <c r="E90" s="11">
        <f t="shared" si="22"/>
        <v>2623.536</v>
      </c>
      <c r="F90" s="11">
        <f t="shared" si="23"/>
        <v>8672.243999999999</v>
      </c>
      <c r="G90" s="11">
        <f t="shared" si="24"/>
        <v>8599.367999999999</v>
      </c>
      <c r="H90" s="11">
        <f t="shared" si="25"/>
        <v>1894.7759999999998</v>
      </c>
      <c r="I90" s="11">
        <f t="shared" si="26"/>
        <v>437.256</v>
      </c>
      <c r="J90" s="11">
        <f t="shared" si="27"/>
        <v>1311.768</v>
      </c>
      <c r="K90" s="11">
        <f>12*8*4+12*6*2</f>
        <v>528</v>
      </c>
      <c r="L90" s="8"/>
      <c r="M90" s="8"/>
      <c r="N90" s="8">
        <f>667*20.77</f>
        <v>13853.59</v>
      </c>
      <c r="O90" s="16">
        <f t="shared" si="17"/>
        <v>1670.0749999999998</v>
      </c>
      <c r="P90" s="24">
        <f t="shared" si="28"/>
        <v>39590.613</v>
      </c>
      <c r="Q90" s="24"/>
      <c r="R90" s="26">
        <f t="shared" si="18"/>
        <v>22409.37</v>
      </c>
      <c r="S90" s="11"/>
      <c r="T90" s="11"/>
      <c r="U90" s="11"/>
      <c r="V90" s="11">
        <f>216*150</f>
        <v>32400</v>
      </c>
      <c r="W90" s="11"/>
      <c r="X90" s="11"/>
      <c r="Y90" s="24">
        <f t="shared" si="29"/>
        <v>32400</v>
      </c>
      <c r="Z90" s="24">
        <f t="shared" si="19"/>
        <v>9401.003999999999</v>
      </c>
      <c r="AA90" s="24"/>
      <c r="AB90" s="24">
        <f t="shared" si="16"/>
        <v>3570.924</v>
      </c>
      <c r="AC90" s="26">
        <f t="shared" si="20"/>
        <v>1702.84</v>
      </c>
      <c r="AD90" s="8"/>
      <c r="AE90" s="8"/>
      <c r="AF90" s="26"/>
      <c r="AG90" s="24">
        <f t="shared" si="21"/>
        <v>8599.367999999999</v>
      </c>
      <c r="AH90" s="24">
        <v>57500</v>
      </c>
      <c r="AI90" s="24">
        <f t="shared" si="30"/>
        <v>175174.119</v>
      </c>
    </row>
    <row r="91" spans="1:35" ht="15.75">
      <c r="A91" s="3" t="s">
        <v>73</v>
      </c>
      <c r="B91" s="4" t="s">
        <v>74</v>
      </c>
      <c r="C91" s="3" t="s">
        <v>2</v>
      </c>
      <c r="D91" s="18">
        <v>449.3</v>
      </c>
      <c r="E91" s="11">
        <f t="shared" si="22"/>
        <v>1940.9759999999999</v>
      </c>
      <c r="F91" s="11">
        <f t="shared" si="23"/>
        <v>6416.004000000001</v>
      </c>
      <c r="G91" s="11">
        <f t="shared" si="24"/>
        <v>6362.088</v>
      </c>
      <c r="H91" s="11">
        <f t="shared" si="25"/>
        <v>1401.8160000000003</v>
      </c>
      <c r="I91" s="11">
        <f t="shared" si="26"/>
        <v>323.496</v>
      </c>
      <c r="J91" s="11">
        <f t="shared" si="27"/>
        <v>970.4879999999999</v>
      </c>
      <c r="K91" s="11">
        <f>12*6*2</f>
        <v>144</v>
      </c>
      <c r="L91" s="8"/>
      <c r="M91" s="8"/>
      <c r="N91" s="8"/>
      <c r="O91" s="16">
        <f t="shared" si="17"/>
        <v>1235.5750000000003</v>
      </c>
      <c r="P91" s="24">
        <f t="shared" si="28"/>
        <v>18794.443000000003</v>
      </c>
      <c r="Q91" s="24"/>
      <c r="R91" s="26">
        <f t="shared" si="18"/>
        <v>16579.170000000002</v>
      </c>
      <c r="S91" s="11"/>
      <c r="T91" s="11"/>
      <c r="U91" s="11"/>
      <c r="V91" s="11"/>
      <c r="W91" s="11"/>
      <c r="X91" s="11"/>
      <c r="Y91" s="24">
        <f t="shared" si="29"/>
        <v>0</v>
      </c>
      <c r="Z91" s="24">
        <f t="shared" si="19"/>
        <v>6955.164</v>
      </c>
      <c r="AA91" s="24"/>
      <c r="AB91" s="24">
        <f t="shared" si="16"/>
        <v>2641.884</v>
      </c>
      <c r="AC91" s="26">
        <f t="shared" si="20"/>
        <v>1260.4400000000003</v>
      </c>
      <c r="AD91" s="8"/>
      <c r="AE91" s="8"/>
      <c r="AF91" s="26"/>
      <c r="AG91" s="24">
        <f t="shared" si="21"/>
        <v>6362.088</v>
      </c>
      <c r="AH91" s="24"/>
      <c r="AI91" s="24">
        <f t="shared" si="30"/>
        <v>52593.189</v>
      </c>
    </row>
    <row r="92" spans="1:35" ht="15.75">
      <c r="A92" s="3" t="s">
        <v>73</v>
      </c>
      <c r="B92" s="4" t="s">
        <v>41</v>
      </c>
      <c r="C92" s="3" t="s">
        <v>2</v>
      </c>
      <c r="D92" s="21">
        <v>286.4</v>
      </c>
      <c r="E92" s="11">
        <f t="shared" si="22"/>
        <v>1237.2479999999998</v>
      </c>
      <c r="F92" s="11">
        <f t="shared" si="23"/>
        <v>4089.7919999999995</v>
      </c>
      <c r="G92" s="11">
        <f t="shared" si="24"/>
        <v>4055.423999999999</v>
      </c>
      <c r="H92" s="11">
        <f t="shared" si="25"/>
        <v>893.568</v>
      </c>
      <c r="I92" s="11">
        <f t="shared" si="26"/>
        <v>206.20799999999997</v>
      </c>
      <c r="J92" s="11">
        <f t="shared" si="27"/>
        <v>618.6239999999999</v>
      </c>
      <c r="K92" s="11">
        <f>8*6*2</f>
        <v>96</v>
      </c>
      <c r="L92" s="8">
        <f>144.73*12</f>
        <v>1736.7599999999998</v>
      </c>
      <c r="M92" s="8"/>
      <c r="N92" s="8"/>
      <c r="O92" s="16">
        <f t="shared" si="17"/>
        <v>787.6</v>
      </c>
      <c r="P92" s="24">
        <f t="shared" si="28"/>
        <v>13721.223999999998</v>
      </c>
      <c r="Q92" s="24"/>
      <c r="R92" s="26">
        <f t="shared" si="18"/>
        <v>10568.16</v>
      </c>
      <c r="S92" s="11"/>
      <c r="T92" s="11"/>
      <c r="U92" s="11"/>
      <c r="V92" s="11"/>
      <c r="W92" s="11"/>
      <c r="X92" s="11"/>
      <c r="Y92" s="24">
        <f t="shared" si="29"/>
        <v>0</v>
      </c>
      <c r="Z92" s="24">
        <f t="shared" si="19"/>
        <v>4433.472</v>
      </c>
      <c r="AA92" s="24"/>
      <c r="AB92" s="24">
        <f t="shared" si="16"/>
        <v>1684.0319999999997</v>
      </c>
      <c r="AC92" s="26">
        <f t="shared" si="20"/>
        <v>804.32</v>
      </c>
      <c r="AD92" s="8"/>
      <c r="AE92" s="8"/>
      <c r="AF92" s="26"/>
      <c r="AG92" s="24">
        <f t="shared" si="21"/>
        <v>4055.423999999999</v>
      </c>
      <c r="AH92" s="24"/>
      <c r="AI92" s="24">
        <f t="shared" si="30"/>
        <v>35266.632</v>
      </c>
    </row>
    <row r="93" spans="1:35" ht="15.75">
      <c r="A93" s="3" t="s">
        <v>73</v>
      </c>
      <c r="B93" s="4" t="s">
        <v>42</v>
      </c>
      <c r="C93" s="3" t="s">
        <v>2</v>
      </c>
      <c r="D93" s="18">
        <v>630.6</v>
      </c>
      <c r="E93" s="11">
        <f t="shared" si="22"/>
        <v>2724.192</v>
      </c>
      <c r="F93" s="11">
        <f t="shared" si="23"/>
        <v>9004.968</v>
      </c>
      <c r="G93" s="11">
        <f t="shared" si="24"/>
        <v>8929.295999999998</v>
      </c>
      <c r="H93" s="11">
        <f t="shared" si="25"/>
        <v>1967.4720000000002</v>
      </c>
      <c r="I93" s="11">
        <f t="shared" si="26"/>
        <v>454.032</v>
      </c>
      <c r="J93" s="11">
        <f t="shared" si="27"/>
        <v>1362.096</v>
      </c>
      <c r="K93" s="11">
        <f>16*6*2</f>
        <v>192</v>
      </c>
      <c r="L93" s="8"/>
      <c r="M93" s="8"/>
      <c r="N93" s="8">
        <f>560*20.77</f>
        <v>11631.199999999999</v>
      </c>
      <c r="O93" s="16">
        <f t="shared" si="17"/>
        <v>1734.15</v>
      </c>
      <c r="P93" s="24">
        <f t="shared" si="28"/>
        <v>37999.406</v>
      </c>
      <c r="Q93" s="24"/>
      <c r="R93" s="26">
        <f t="shared" si="18"/>
        <v>23269.140000000003</v>
      </c>
      <c r="S93" s="11"/>
      <c r="T93" s="11"/>
      <c r="U93" s="11"/>
      <c r="V93" s="11"/>
      <c r="W93" s="11"/>
      <c r="X93" s="11"/>
      <c r="Y93" s="24">
        <f t="shared" si="29"/>
        <v>0</v>
      </c>
      <c r="Z93" s="24">
        <f t="shared" si="19"/>
        <v>9761.688</v>
      </c>
      <c r="AA93" s="24"/>
      <c r="AB93" s="24">
        <f t="shared" si="16"/>
        <v>3707.9280000000003</v>
      </c>
      <c r="AC93" s="26">
        <f t="shared" si="20"/>
        <v>1768.0800000000002</v>
      </c>
      <c r="AD93" s="8"/>
      <c r="AE93" s="8"/>
      <c r="AF93" s="26"/>
      <c r="AG93" s="24">
        <f t="shared" si="21"/>
        <v>8929.295999999998</v>
      </c>
      <c r="AH93" s="24"/>
      <c r="AI93" s="24">
        <f t="shared" si="30"/>
        <v>85435.538</v>
      </c>
    </row>
    <row r="94" spans="1:35" ht="15.75">
      <c r="A94" s="3" t="s">
        <v>73</v>
      </c>
      <c r="B94" s="4" t="s">
        <v>14</v>
      </c>
      <c r="C94" s="3" t="s">
        <v>2</v>
      </c>
      <c r="D94" s="18">
        <v>594.6</v>
      </c>
      <c r="E94" s="11">
        <f t="shared" si="22"/>
        <v>2568.672</v>
      </c>
      <c r="F94" s="11">
        <f t="shared" si="23"/>
        <v>8490.887999999999</v>
      </c>
      <c r="G94" s="11">
        <f t="shared" si="24"/>
        <v>8419.536</v>
      </c>
      <c r="H94" s="11">
        <f t="shared" si="25"/>
        <v>1855.152</v>
      </c>
      <c r="I94" s="11">
        <f t="shared" si="26"/>
        <v>428.112</v>
      </c>
      <c r="J94" s="11">
        <f t="shared" si="27"/>
        <v>1284.336</v>
      </c>
      <c r="K94" s="11">
        <f>10*6*2</f>
        <v>120</v>
      </c>
      <c r="L94" s="8"/>
      <c r="M94" s="8"/>
      <c r="N94" s="8">
        <f>393*20.77</f>
        <v>8162.61</v>
      </c>
      <c r="O94" s="16">
        <f t="shared" si="17"/>
        <v>1635.15</v>
      </c>
      <c r="P94" s="24">
        <f t="shared" si="28"/>
        <v>32964.456</v>
      </c>
      <c r="Q94" s="24"/>
      <c r="R94" s="26">
        <f t="shared" si="18"/>
        <v>21940.740000000005</v>
      </c>
      <c r="S94" s="11"/>
      <c r="T94" s="11"/>
      <c r="U94" s="11"/>
      <c r="V94" s="11">
        <f>101*150</f>
        <v>15150</v>
      </c>
      <c r="W94" s="11"/>
      <c r="X94" s="11"/>
      <c r="Y94" s="24">
        <f t="shared" si="29"/>
        <v>15150</v>
      </c>
      <c r="Z94" s="24">
        <f t="shared" si="19"/>
        <v>9204.408000000001</v>
      </c>
      <c r="AA94" s="24"/>
      <c r="AB94" s="24">
        <f t="shared" si="16"/>
        <v>3496.2479999999996</v>
      </c>
      <c r="AC94" s="26">
        <f t="shared" si="20"/>
        <v>1667.2800000000002</v>
      </c>
      <c r="AD94" s="8"/>
      <c r="AE94" s="8"/>
      <c r="AF94" s="26"/>
      <c r="AG94" s="24">
        <f t="shared" si="21"/>
        <v>8419.536</v>
      </c>
      <c r="AH94" s="24"/>
      <c r="AI94" s="24">
        <f t="shared" si="30"/>
        <v>92842.66799999998</v>
      </c>
    </row>
    <row r="95" spans="1:35" ht="15.75">
      <c r="A95" s="3" t="s">
        <v>73</v>
      </c>
      <c r="B95" s="4" t="s">
        <v>75</v>
      </c>
      <c r="C95" s="3" t="s">
        <v>2</v>
      </c>
      <c r="D95" s="18">
        <v>276.8</v>
      </c>
      <c r="E95" s="11">
        <f t="shared" si="22"/>
        <v>1195.7759999999998</v>
      </c>
      <c r="F95" s="11">
        <f t="shared" si="23"/>
        <v>3952.7039999999997</v>
      </c>
      <c r="G95" s="11">
        <f t="shared" si="24"/>
        <v>3919.4880000000003</v>
      </c>
      <c r="H95" s="11">
        <f t="shared" si="25"/>
        <v>863.616</v>
      </c>
      <c r="I95" s="11">
        <f t="shared" si="26"/>
        <v>199.296</v>
      </c>
      <c r="J95" s="11">
        <f t="shared" si="27"/>
        <v>597.8879999999999</v>
      </c>
      <c r="K95" s="11">
        <f>8*6*2</f>
        <v>96</v>
      </c>
      <c r="L95" s="8">
        <f>144.73*12</f>
        <v>1736.7599999999998</v>
      </c>
      <c r="M95" s="8"/>
      <c r="N95" s="8">
        <f>257*20.77</f>
        <v>5337.89</v>
      </c>
      <c r="O95" s="16">
        <f t="shared" si="17"/>
        <v>761.2</v>
      </c>
      <c r="P95" s="24">
        <f t="shared" si="28"/>
        <v>18660.618000000002</v>
      </c>
      <c r="Q95" s="24"/>
      <c r="R95" s="26">
        <f t="shared" si="18"/>
        <v>10213.920000000002</v>
      </c>
      <c r="S95" s="11"/>
      <c r="T95" s="11"/>
      <c r="U95" s="11"/>
      <c r="V95" s="11"/>
      <c r="W95" s="11"/>
      <c r="X95" s="11"/>
      <c r="Y95" s="24">
        <f t="shared" si="29"/>
        <v>0</v>
      </c>
      <c r="Z95" s="24">
        <f t="shared" si="19"/>
        <v>4284.864</v>
      </c>
      <c r="AA95" s="24"/>
      <c r="AB95" s="24">
        <f aca="true" t="shared" si="32" ref="AB95:AB158">D95*0.49*12</f>
        <v>1627.584</v>
      </c>
      <c r="AC95" s="26">
        <f t="shared" si="20"/>
        <v>777.44</v>
      </c>
      <c r="AD95" s="8"/>
      <c r="AE95" s="8"/>
      <c r="AF95" s="26"/>
      <c r="AG95" s="24">
        <f t="shared" si="21"/>
        <v>3919.4880000000003</v>
      </c>
      <c r="AH95" s="24"/>
      <c r="AI95" s="24">
        <f t="shared" si="30"/>
        <v>39483.914000000004</v>
      </c>
    </row>
    <row r="96" spans="1:35" ht="15.75">
      <c r="A96" s="3" t="s">
        <v>73</v>
      </c>
      <c r="B96" s="4" t="s">
        <v>66</v>
      </c>
      <c r="C96" s="3" t="s">
        <v>2</v>
      </c>
      <c r="D96" s="21">
        <v>375</v>
      </c>
      <c r="E96" s="11">
        <f t="shared" si="22"/>
        <v>1620</v>
      </c>
      <c r="F96" s="11">
        <f t="shared" si="23"/>
        <v>5355</v>
      </c>
      <c r="G96" s="11">
        <f t="shared" si="24"/>
        <v>5310</v>
      </c>
      <c r="H96" s="11">
        <f t="shared" si="25"/>
        <v>1170</v>
      </c>
      <c r="I96" s="11">
        <f t="shared" si="26"/>
        <v>270</v>
      </c>
      <c r="J96" s="11">
        <f t="shared" si="27"/>
        <v>810</v>
      </c>
      <c r="K96" s="11">
        <f>8*8*4+8*6*2</f>
        <v>352</v>
      </c>
      <c r="L96" s="8"/>
      <c r="M96" s="8"/>
      <c r="N96" s="8"/>
      <c r="O96" s="16">
        <f t="shared" si="17"/>
        <v>1031.2500000000002</v>
      </c>
      <c r="P96" s="24">
        <f t="shared" si="28"/>
        <v>15918.25</v>
      </c>
      <c r="Q96" s="24"/>
      <c r="R96" s="26">
        <f t="shared" si="18"/>
        <v>13837.5</v>
      </c>
      <c r="S96" s="11"/>
      <c r="T96" s="11"/>
      <c r="U96" s="11"/>
      <c r="V96" s="11"/>
      <c r="W96" s="11"/>
      <c r="X96" s="11"/>
      <c r="Y96" s="24">
        <f t="shared" si="29"/>
        <v>0</v>
      </c>
      <c r="Z96" s="24">
        <f t="shared" si="19"/>
        <v>5805</v>
      </c>
      <c r="AA96" s="24"/>
      <c r="AB96" s="24">
        <f t="shared" si="32"/>
        <v>2205</v>
      </c>
      <c r="AC96" s="26">
        <f t="shared" si="20"/>
        <v>1052.4</v>
      </c>
      <c r="AD96" s="8"/>
      <c r="AE96" s="8"/>
      <c r="AF96" s="26"/>
      <c r="AG96" s="24">
        <f t="shared" si="21"/>
        <v>5310</v>
      </c>
      <c r="AH96" s="24"/>
      <c r="AI96" s="24">
        <f t="shared" si="30"/>
        <v>44128.15</v>
      </c>
    </row>
    <row r="97" spans="1:35" ht="15.75">
      <c r="A97" s="5" t="s">
        <v>76</v>
      </c>
      <c r="B97" s="5" t="s">
        <v>6</v>
      </c>
      <c r="C97" s="6"/>
      <c r="D97" s="21">
        <v>235.3</v>
      </c>
      <c r="E97" s="11">
        <f t="shared" si="22"/>
        <v>1016.496</v>
      </c>
      <c r="F97" s="11">
        <f t="shared" si="23"/>
        <v>3360.084</v>
      </c>
      <c r="G97" s="11">
        <f t="shared" si="24"/>
        <v>3331.848</v>
      </c>
      <c r="H97" s="11">
        <f t="shared" si="25"/>
        <v>734.1360000000001</v>
      </c>
      <c r="I97" s="11">
        <f t="shared" si="26"/>
        <v>169.416</v>
      </c>
      <c r="J97" s="11">
        <f t="shared" si="27"/>
        <v>508.248</v>
      </c>
      <c r="K97" s="11">
        <f>3*230</f>
        <v>690</v>
      </c>
      <c r="L97" s="8"/>
      <c r="M97" s="8"/>
      <c r="N97" s="8"/>
      <c r="O97" s="16">
        <f t="shared" si="17"/>
        <v>647.075</v>
      </c>
      <c r="P97" s="24">
        <f t="shared" si="28"/>
        <v>10457.303</v>
      </c>
      <c r="Q97" s="24"/>
      <c r="R97" s="26">
        <f t="shared" si="18"/>
        <v>8682.570000000002</v>
      </c>
      <c r="S97" s="11"/>
      <c r="T97" s="11"/>
      <c r="U97" s="11"/>
      <c r="V97" s="11"/>
      <c r="W97" s="11"/>
      <c r="X97" s="11"/>
      <c r="Y97" s="24">
        <f t="shared" si="29"/>
        <v>0</v>
      </c>
      <c r="Z97" s="24">
        <f t="shared" si="19"/>
        <v>3642.4440000000004</v>
      </c>
      <c r="AA97" s="24"/>
      <c r="AB97" s="24">
        <f t="shared" si="32"/>
        <v>1383.5639999999999</v>
      </c>
      <c r="AC97" s="26">
        <f t="shared" si="20"/>
        <v>661.24</v>
      </c>
      <c r="AD97" s="8"/>
      <c r="AE97" s="8"/>
      <c r="AF97" s="26"/>
      <c r="AG97" s="24">
        <f t="shared" si="21"/>
        <v>3331.848</v>
      </c>
      <c r="AH97" s="24"/>
      <c r="AI97" s="24">
        <f t="shared" si="30"/>
        <v>28158.968999999997</v>
      </c>
    </row>
    <row r="98" spans="1:35" ht="15.75">
      <c r="A98" s="5" t="s">
        <v>76</v>
      </c>
      <c r="B98" s="5" t="s">
        <v>77</v>
      </c>
      <c r="C98" s="6"/>
      <c r="D98" s="18">
        <v>88.5</v>
      </c>
      <c r="E98" s="11">
        <f t="shared" si="22"/>
        <v>382.32</v>
      </c>
      <c r="F98" s="11">
        <f t="shared" si="23"/>
        <v>1263.78</v>
      </c>
      <c r="G98" s="11">
        <f t="shared" si="24"/>
        <v>1253.1599999999999</v>
      </c>
      <c r="H98" s="11">
        <f t="shared" si="25"/>
        <v>276.12</v>
      </c>
      <c r="I98" s="11">
        <f t="shared" si="26"/>
        <v>63.72</v>
      </c>
      <c r="J98" s="11">
        <f t="shared" si="27"/>
        <v>191.16</v>
      </c>
      <c r="K98" s="11">
        <f>2*230</f>
        <v>460</v>
      </c>
      <c r="L98" s="8">
        <f>144.73*8</f>
        <v>1157.84</v>
      </c>
      <c r="M98" s="8"/>
      <c r="N98" s="8"/>
      <c r="O98" s="16">
        <f t="shared" si="17"/>
        <v>243.37500000000003</v>
      </c>
      <c r="P98" s="24">
        <f t="shared" si="28"/>
        <v>5291.474999999999</v>
      </c>
      <c r="Q98" s="24"/>
      <c r="R98" s="26">
        <f t="shared" si="18"/>
        <v>3265.65</v>
      </c>
      <c r="S98" s="11"/>
      <c r="T98" s="11"/>
      <c r="U98" s="11"/>
      <c r="V98" s="11"/>
      <c r="W98" s="11"/>
      <c r="X98" s="11"/>
      <c r="Y98" s="24">
        <f t="shared" si="29"/>
        <v>0</v>
      </c>
      <c r="Z98" s="24">
        <f t="shared" si="19"/>
        <v>1369.98</v>
      </c>
      <c r="AA98" s="24"/>
      <c r="AB98" s="24">
        <f t="shared" si="32"/>
        <v>520.38</v>
      </c>
      <c r="AC98" s="26">
        <f t="shared" si="20"/>
        <v>250.2</v>
      </c>
      <c r="AD98" s="8"/>
      <c r="AE98" s="8"/>
      <c r="AF98" s="26"/>
      <c r="AG98" s="24">
        <f t="shared" si="21"/>
        <v>1253.1599999999999</v>
      </c>
      <c r="AH98" s="24"/>
      <c r="AI98" s="24">
        <f t="shared" si="30"/>
        <v>11950.845</v>
      </c>
    </row>
    <row r="99" spans="1:35" ht="15.75">
      <c r="A99" s="3" t="s">
        <v>78</v>
      </c>
      <c r="B99" s="4" t="s">
        <v>79</v>
      </c>
      <c r="C99" s="3" t="s">
        <v>2</v>
      </c>
      <c r="D99" s="21">
        <v>284.6</v>
      </c>
      <c r="E99" s="11">
        <f t="shared" si="22"/>
        <v>1229.472</v>
      </c>
      <c r="F99" s="11">
        <f t="shared" si="23"/>
        <v>4064.0880000000006</v>
      </c>
      <c r="G99" s="11">
        <f t="shared" si="24"/>
        <v>4029.9360000000006</v>
      </c>
      <c r="H99" s="11">
        <f t="shared" si="25"/>
        <v>887.9520000000001</v>
      </c>
      <c r="I99" s="11">
        <f t="shared" si="26"/>
        <v>204.912</v>
      </c>
      <c r="J99" s="11">
        <f t="shared" si="27"/>
        <v>614.736</v>
      </c>
      <c r="K99" s="11">
        <f>5*230</f>
        <v>1150</v>
      </c>
      <c r="L99" s="8"/>
      <c r="M99" s="8"/>
      <c r="N99" s="8"/>
      <c r="O99" s="16">
        <f t="shared" si="17"/>
        <v>782.6500000000001</v>
      </c>
      <c r="P99" s="24">
        <f t="shared" si="28"/>
        <v>12963.746000000001</v>
      </c>
      <c r="Q99" s="24"/>
      <c r="R99" s="26">
        <f t="shared" si="18"/>
        <v>10501.740000000002</v>
      </c>
      <c r="S99" s="11"/>
      <c r="T99" s="11"/>
      <c r="U99" s="11"/>
      <c r="V99" s="11"/>
      <c r="W99" s="11"/>
      <c r="X99" s="11"/>
      <c r="Y99" s="24">
        <f t="shared" si="29"/>
        <v>0</v>
      </c>
      <c r="Z99" s="24">
        <f t="shared" si="19"/>
        <v>4405.608</v>
      </c>
      <c r="AA99" s="24"/>
      <c r="AB99" s="24">
        <f t="shared" si="32"/>
        <v>1673.448</v>
      </c>
      <c r="AC99" s="26">
        <f t="shared" si="20"/>
        <v>799.2800000000001</v>
      </c>
      <c r="AD99" s="8"/>
      <c r="AE99" s="8"/>
      <c r="AF99" s="26"/>
      <c r="AG99" s="24">
        <f t="shared" si="21"/>
        <v>4029.9360000000006</v>
      </c>
      <c r="AH99" s="24"/>
      <c r="AI99" s="24">
        <f t="shared" si="30"/>
        <v>34373.758</v>
      </c>
    </row>
    <row r="100" spans="1:35" ht="15.75">
      <c r="A100" s="3" t="s">
        <v>78</v>
      </c>
      <c r="B100" s="4" t="s">
        <v>80</v>
      </c>
      <c r="C100" s="3" t="s">
        <v>2</v>
      </c>
      <c r="D100" s="21">
        <v>117.9</v>
      </c>
      <c r="E100" s="11">
        <f t="shared" si="22"/>
        <v>509.32800000000003</v>
      </c>
      <c r="F100" s="11">
        <f t="shared" si="23"/>
        <v>1683.6119999999999</v>
      </c>
      <c r="G100" s="11">
        <f t="shared" si="24"/>
        <v>1669.464</v>
      </c>
      <c r="H100" s="11">
        <f t="shared" si="25"/>
        <v>367.84800000000007</v>
      </c>
      <c r="I100" s="11">
        <f t="shared" si="26"/>
        <v>84.888</v>
      </c>
      <c r="J100" s="11">
        <f t="shared" si="27"/>
        <v>254.66400000000002</v>
      </c>
      <c r="K100" s="11">
        <f>3*230</f>
        <v>690</v>
      </c>
      <c r="L100" s="8"/>
      <c r="M100" s="8"/>
      <c r="N100" s="8"/>
      <c r="O100" s="16">
        <f t="shared" si="17"/>
        <v>324.2250000000001</v>
      </c>
      <c r="P100" s="24">
        <f t="shared" si="28"/>
        <v>5584.029</v>
      </c>
      <c r="Q100" s="24"/>
      <c r="R100" s="26">
        <f t="shared" si="18"/>
        <v>4350.51</v>
      </c>
      <c r="S100" s="11"/>
      <c r="T100" s="11"/>
      <c r="U100" s="11"/>
      <c r="V100" s="11"/>
      <c r="W100" s="11"/>
      <c r="X100" s="11"/>
      <c r="Y100" s="24">
        <f t="shared" si="29"/>
        <v>0</v>
      </c>
      <c r="Z100" s="24">
        <f t="shared" si="19"/>
        <v>1825.092</v>
      </c>
      <c r="AA100" s="24"/>
      <c r="AB100" s="24">
        <f t="shared" si="32"/>
        <v>693.252</v>
      </c>
      <c r="AC100" s="26">
        <f t="shared" si="20"/>
        <v>332.52</v>
      </c>
      <c r="AD100" s="8"/>
      <c r="AE100" s="8"/>
      <c r="AF100" s="26"/>
      <c r="AG100" s="24">
        <f t="shared" si="21"/>
        <v>1669.464</v>
      </c>
      <c r="AH100" s="24"/>
      <c r="AI100" s="24">
        <f t="shared" si="30"/>
        <v>14454.867000000002</v>
      </c>
    </row>
    <row r="101" spans="1:35" ht="15.75">
      <c r="A101" s="5" t="s">
        <v>78</v>
      </c>
      <c r="B101" s="5" t="s">
        <v>16</v>
      </c>
      <c r="C101" s="6"/>
      <c r="D101" s="21">
        <v>205.3</v>
      </c>
      <c r="E101" s="11">
        <f t="shared" si="22"/>
        <v>886.896</v>
      </c>
      <c r="F101" s="11">
        <f t="shared" si="23"/>
        <v>2931.684</v>
      </c>
      <c r="G101" s="11">
        <f t="shared" si="24"/>
        <v>2907.048</v>
      </c>
      <c r="H101" s="11">
        <f t="shared" si="25"/>
        <v>640.5360000000001</v>
      </c>
      <c r="I101" s="11">
        <f t="shared" si="26"/>
        <v>147.816</v>
      </c>
      <c r="J101" s="11">
        <f t="shared" si="27"/>
        <v>443.448</v>
      </c>
      <c r="K101" s="11">
        <f>2*230</f>
        <v>460</v>
      </c>
      <c r="L101" s="8"/>
      <c r="M101" s="8"/>
      <c r="N101" s="8"/>
      <c r="O101" s="16">
        <f t="shared" si="17"/>
        <v>564.575</v>
      </c>
      <c r="P101" s="24">
        <f t="shared" si="28"/>
        <v>8982.003</v>
      </c>
      <c r="Q101" s="24"/>
      <c r="R101" s="26">
        <f t="shared" si="18"/>
        <v>7575.5700000000015</v>
      </c>
      <c r="S101" s="11"/>
      <c r="T101" s="11"/>
      <c r="U101" s="11"/>
      <c r="V101" s="11"/>
      <c r="W101" s="11"/>
      <c r="X101" s="11"/>
      <c r="Y101" s="24">
        <f t="shared" si="29"/>
        <v>0</v>
      </c>
      <c r="Z101" s="24">
        <f t="shared" si="19"/>
        <v>3178.044000000001</v>
      </c>
      <c r="AA101" s="24"/>
      <c r="AB101" s="24">
        <f t="shared" si="32"/>
        <v>1207.1640000000002</v>
      </c>
      <c r="AC101" s="26">
        <f t="shared" si="20"/>
        <v>577.24</v>
      </c>
      <c r="AD101" s="8"/>
      <c r="AE101" s="8"/>
      <c r="AF101" s="26"/>
      <c r="AG101" s="24">
        <f t="shared" si="21"/>
        <v>2907.048</v>
      </c>
      <c r="AH101" s="24"/>
      <c r="AI101" s="24">
        <f t="shared" si="30"/>
        <v>24427.069000000007</v>
      </c>
    </row>
    <row r="102" spans="1:35" ht="15.75">
      <c r="A102" s="3" t="s">
        <v>81</v>
      </c>
      <c r="B102" s="4" t="s">
        <v>34</v>
      </c>
      <c r="C102" s="3" t="s">
        <v>2</v>
      </c>
      <c r="D102" s="18">
        <v>813.6</v>
      </c>
      <c r="E102" s="11">
        <f t="shared" si="22"/>
        <v>3514.7520000000004</v>
      </c>
      <c r="F102" s="11">
        <f t="shared" si="23"/>
        <v>11618.207999999999</v>
      </c>
      <c r="G102" s="11">
        <f t="shared" si="24"/>
        <v>11520.576000000001</v>
      </c>
      <c r="H102" s="11">
        <f t="shared" si="25"/>
        <v>2538.432</v>
      </c>
      <c r="I102" s="11">
        <f t="shared" si="26"/>
        <v>585.792</v>
      </c>
      <c r="J102" s="11">
        <f t="shared" si="27"/>
        <v>1757.3760000000002</v>
      </c>
      <c r="K102" s="11">
        <f>11*8*4+11*6*2</f>
        <v>484</v>
      </c>
      <c r="L102" s="8">
        <f>144.73*18</f>
        <v>2605.14</v>
      </c>
      <c r="M102" s="8"/>
      <c r="N102" s="8">
        <f>16*20.77</f>
        <v>332.32</v>
      </c>
      <c r="O102" s="16">
        <f t="shared" si="17"/>
        <v>2237.4000000000005</v>
      </c>
      <c r="P102" s="24">
        <f t="shared" si="28"/>
        <v>37193.99600000001</v>
      </c>
      <c r="Q102" s="24"/>
      <c r="R102" s="26">
        <f t="shared" si="18"/>
        <v>30021.840000000004</v>
      </c>
      <c r="S102" s="11"/>
      <c r="T102" s="11"/>
      <c r="U102" s="11">
        <v>13902</v>
      </c>
      <c r="V102" s="11">
        <f>142*150</f>
        <v>21300</v>
      </c>
      <c r="W102" s="11"/>
      <c r="X102" s="11"/>
      <c r="Y102" s="24">
        <f t="shared" si="29"/>
        <v>35202</v>
      </c>
      <c r="Z102" s="24">
        <f t="shared" si="19"/>
        <v>12594.528000000002</v>
      </c>
      <c r="AA102" s="24"/>
      <c r="AB102" s="24">
        <f t="shared" si="32"/>
        <v>4783.968</v>
      </c>
      <c r="AC102" s="26">
        <f t="shared" si="20"/>
        <v>2280.4800000000005</v>
      </c>
      <c r="AD102" s="8"/>
      <c r="AE102" s="8"/>
      <c r="AF102" s="26"/>
      <c r="AG102" s="24">
        <f t="shared" si="21"/>
        <v>11520.576000000001</v>
      </c>
      <c r="AH102" s="24">
        <v>57500</v>
      </c>
      <c r="AI102" s="24">
        <f t="shared" si="30"/>
        <v>191097.388</v>
      </c>
    </row>
    <row r="103" spans="1:35" ht="15.75">
      <c r="A103" s="3" t="s">
        <v>81</v>
      </c>
      <c r="B103" s="4" t="s">
        <v>69</v>
      </c>
      <c r="C103" s="3" t="s">
        <v>2</v>
      </c>
      <c r="D103" s="18">
        <v>671</v>
      </c>
      <c r="E103" s="11">
        <f t="shared" si="22"/>
        <v>2898.7200000000003</v>
      </c>
      <c r="F103" s="11">
        <f t="shared" si="23"/>
        <v>9581.880000000001</v>
      </c>
      <c r="G103" s="11">
        <f t="shared" si="24"/>
        <v>9501.36</v>
      </c>
      <c r="H103" s="11">
        <f t="shared" si="25"/>
        <v>2093.52</v>
      </c>
      <c r="I103" s="11">
        <f t="shared" si="26"/>
        <v>483.12</v>
      </c>
      <c r="J103" s="11">
        <f t="shared" si="27"/>
        <v>1449.3600000000001</v>
      </c>
      <c r="K103" s="11">
        <f>12*8*4+12*6*2</f>
        <v>528</v>
      </c>
      <c r="L103" s="8">
        <f>144.73*18</f>
        <v>2605.14</v>
      </c>
      <c r="M103" s="8"/>
      <c r="N103" s="8"/>
      <c r="O103" s="16">
        <f t="shared" si="17"/>
        <v>1845.25</v>
      </c>
      <c r="P103" s="24">
        <f t="shared" si="28"/>
        <v>30986.350000000002</v>
      </c>
      <c r="Q103" s="24"/>
      <c r="R103" s="26">
        <f t="shared" si="18"/>
        <v>24759.9</v>
      </c>
      <c r="S103" s="11"/>
      <c r="T103" s="11"/>
      <c r="U103" s="11">
        <v>78948</v>
      </c>
      <c r="V103" s="11">
        <f>110*150</f>
        <v>16500</v>
      </c>
      <c r="W103" s="11"/>
      <c r="X103" s="11"/>
      <c r="Y103" s="24">
        <f t="shared" si="29"/>
        <v>95448</v>
      </c>
      <c r="Z103" s="24">
        <f t="shared" si="19"/>
        <v>10387.08</v>
      </c>
      <c r="AA103" s="24"/>
      <c r="AB103" s="24">
        <f t="shared" si="32"/>
        <v>3945.4800000000005</v>
      </c>
      <c r="AC103" s="26">
        <f t="shared" si="20"/>
        <v>1881.2000000000003</v>
      </c>
      <c r="AD103" s="8"/>
      <c r="AE103" s="8"/>
      <c r="AF103" s="26"/>
      <c r="AG103" s="24">
        <f t="shared" si="21"/>
        <v>9501.36</v>
      </c>
      <c r="AH103" s="24">
        <v>57500</v>
      </c>
      <c r="AI103" s="24">
        <f t="shared" si="30"/>
        <v>234409.37</v>
      </c>
    </row>
    <row r="104" spans="1:35" ht="15.75">
      <c r="A104" s="3" t="s">
        <v>81</v>
      </c>
      <c r="B104" s="4" t="s">
        <v>35</v>
      </c>
      <c r="C104" s="3" t="s">
        <v>2</v>
      </c>
      <c r="D104" s="18">
        <v>4824</v>
      </c>
      <c r="E104" s="11">
        <f t="shared" si="22"/>
        <v>20839.68</v>
      </c>
      <c r="F104" s="11">
        <f t="shared" si="23"/>
        <v>68886.72</v>
      </c>
      <c r="G104" s="11">
        <f t="shared" si="24"/>
        <v>68307.84</v>
      </c>
      <c r="H104" s="11">
        <f t="shared" si="25"/>
        <v>15050.880000000001</v>
      </c>
      <c r="I104" s="11">
        <f t="shared" si="26"/>
        <v>3473.2799999999997</v>
      </c>
      <c r="J104" s="11">
        <f t="shared" si="27"/>
        <v>10419.84</v>
      </c>
      <c r="K104" s="11">
        <f>105*8*4+105*6*2</f>
        <v>4620</v>
      </c>
      <c r="L104" s="8">
        <f>144.73*3</f>
        <v>434.18999999999994</v>
      </c>
      <c r="M104" s="8"/>
      <c r="N104" s="8"/>
      <c r="O104" s="16">
        <f t="shared" si="17"/>
        <v>13266.000000000002</v>
      </c>
      <c r="P104" s="24">
        <f t="shared" si="28"/>
        <v>205298.43</v>
      </c>
      <c r="Q104" s="24">
        <f>D104*1.27*5+D104*1.34*7</f>
        <v>75881.52</v>
      </c>
      <c r="R104" s="26">
        <f t="shared" si="18"/>
        <v>178005.6</v>
      </c>
      <c r="S104" s="8"/>
      <c r="T104" s="8"/>
      <c r="U104" s="8"/>
      <c r="V104" s="11"/>
      <c r="W104" s="11"/>
      <c r="X104" s="11"/>
      <c r="Y104" s="24">
        <f t="shared" si="29"/>
        <v>0</v>
      </c>
      <c r="Z104" s="24">
        <f t="shared" si="19"/>
        <v>74675.52</v>
      </c>
      <c r="AA104" s="24"/>
      <c r="AB104" s="24">
        <f t="shared" si="32"/>
        <v>28365.119999999995</v>
      </c>
      <c r="AC104" s="26">
        <f t="shared" si="20"/>
        <v>13509.6</v>
      </c>
      <c r="AD104" s="8"/>
      <c r="AE104" s="8"/>
      <c r="AF104" s="26"/>
      <c r="AG104" s="24">
        <f t="shared" si="21"/>
        <v>68307.84</v>
      </c>
      <c r="AH104" s="24">
        <v>230000</v>
      </c>
      <c r="AI104" s="24">
        <f t="shared" si="30"/>
        <v>874043.63</v>
      </c>
    </row>
    <row r="105" spans="1:35" ht="15.75">
      <c r="A105" s="3" t="s">
        <v>81</v>
      </c>
      <c r="B105" s="4" t="s">
        <v>6</v>
      </c>
      <c r="C105" s="3" t="s">
        <v>2</v>
      </c>
      <c r="D105" s="18">
        <v>844.1</v>
      </c>
      <c r="E105" s="11">
        <f t="shared" si="22"/>
        <v>3646.5119999999997</v>
      </c>
      <c r="F105" s="11">
        <f t="shared" si="23"/>
        <v>12053.748</v>
      </c>
      <c r="G105" s="11">
        <f t="shared" si="24"/>
        <v>11952.456</v>
      </c>
      <c r="H105" s="11">
        <f t="shared" si="25"/>
        <v>2633.592</v>
      </c>
      <c r="I105" s="11">
        <f t="shared" si="26"/>
        <v>607.752</v>
      </c>
      <c r="J105" s="11">
        <f t="shared" si="27"/>
        <v>1823.2559999999999</v>
      </c>
      <c r="K105" s="11">
        <f>16*8*4+16*6*2</f>
        <v>704</v>
      </c>
      <c r="L105" s="8">
        <f>144.73*20</f>
        <v>2894.6</v>
      </c>
      <c r="M105" s="8"/>
      <c r="N105" s="8"/>
      <c r="O105" s="16">
        <f t="shared" si="17"/>
        <v>2321.275</v>
      </c>
      <c r="P105" s="24">
        <f t="shared" si="28"/>
        <v>38637.191000000006</v>
      </c>
      <c r="Q105" s="24"/>
      <c r="R105" s="26">
        <f t="shared" si="18"/>
        <v>31147.290000000005</v>
      </c>
      <c r="S105" s="11">
        <v>91000</v>
      </c>
      <c r="T105" s="11"/>
      <c r="U105" s="11"/>
      <c r="V105" s="11">
        <f>180*150</f>
        <v>27000</v>
      </c>
      <c r="W105" s="11"/>
      <c r="X105" s="11"/>
      <c r="Y105" s="24">
        <f t="shared" si="29"/>
        <v>118000</v>
      </c>
      <c r="Z105" s="24">
        <f t="shared" si="19"/>
        <v>13066.668000000001</v>
      </c>
      <c r="AA105" s="24"/>
      <c r="AB105" s="24">
        <f t="shared" si="32"/>
        <v>4963.308</v>
      </c>
      <c r="AC105" s="26">
        <f t="shared" si="20"/>
        <v>2365.8800000000006</v>
      </c>
      <c r="AD105" s="8"/>
      <c r="AE105" s="8"/>
      <c r="AF105" s="26"/>
      <c r="AG105" s="24">
        <f t="shared" si="21"/>
        <v>11952.456</v>
      </c>
      <c r="AH105" s="24">
        <v>57500</v>
      </c>
      <c r="AI105" s="24">
        <f t="shared" si="30"/>
        <v>277632.79300000006</v>
      </c>
    </row>
    <row r="106" spans="1:35" ht="15.75">
      <c r="A106" s="3" t="s">
        <v>82</v>
      </c>
      <c r="B106" s="4" t="s">
        <v>68</v>
      </c>
      <c r="C106" s="3" t="s">
        <v>2</v>
      </c>
      <c r="D106" s="18">
        <v>972.6</v>
      </c>
      <c r="E106" s="11">
        <f t="shared" si="22"/>
        <v>4201.632</v>
      </c>
      <c r="F106" s="11">
        <f t="shared" si="23"/>
        <v>13888.728</v>
      </c>
      <c r="G106" s="11">
        <f t="shared" si="24"/>
        <v>13772.016</v>
      </c>
      <c r="H106" s="11">
        <f t="shared" si="25"/>
        <v>3034.512</v>
      </c>
      <c r="I106" s="11">
        <f t="shared" si="26"/>
        <v>700.272</v>
      </c>
      <c r="J106" s="11">
        <f t="shared" si="27"/>
        <v>2100.816</v>
      </c>
      <c r="K106" s="11">
        <f>24*8*4+24*6*2</f>
        <v>1056</v>
      </c>
      <c r="L106" s="8">
        <f>144.73*30</f>
        <v>4341.9</v>
      </c>
      <c r="M106" s="8"/>
      <c r="N106" s="8"/>
      <c r="O106" s="16">
        <f t="shared" si="17"/>
        <v>2674.6500000000005</v>
      </c>
      <c r="P106" s="24">
        <f t="shared" si="28"/>
        <v>45770.526</v>
      </c>
      <c r="Q106" s="24"/>
      <c r="R106" s="26">
        <f t="shared" si="18"/>
        <v>35888.94</v>
      </c>
      <c r="S106" s="11"/>
      <c r="T106" s="11"/>
      <c r="U106" s="11"/>
      <c r="V106" s="11"/>
      <c r="W106" s="11">
        <f>6*220</f>
        <v>1320</v>
      </c>
      <c r="X106" s="11"/>
      <c r="Y106" s="24">
        <f t="shared" si="29"/>
        <v>1320</v>
      </c>
      <c r="Z106" s="24">
        <f t="shared" si="19"/>
        <v>15055.848</v>
      </c>
      <c r="AA106" s="24"/>
      <c r="AB106" s="24">
        <f t="shared" si="32"/>
        <v>5718.888</v>
      </c>
      <c r="AC106" s="26">
        <f t="shared" si="20"/>
        <v>2725.6800000000003</v>
      </c>
      <c r="AD106" s="8"/>
      <c r="AE106" s="8"/>
      <c r="AF106" s="26"/>
      <c r="AG106" s="24">
        <f t="shared" si="21"/>
        <v>13772.016</v>
      </c>
      <c r="AH106" s="24">
        <v>57500</v>
      </c>
      <c r="AI106" s="24">
        <f t="shared" si="30"/>
        <v>177751.89800000002</v>
      </c>
    </row>
    <row r="107" spans="1:35" ht="15.75">
      <c r="A107" s="3" t="s">
        <v>82</v>
      </c>
      <c r="B107" s="4" t="s">
        <v>34</v>
      </c>
      <c r="C107" s="3" t="s">
        <v>2</v>
      </c>
      <c r="D107" s="18">
        <v>270.7</v>
      </c>
      <c r="E107" s="11">
        <f t="shared" si="22"/>
        <v>1169.424</v>
      </c>
      <c r="F107" s="11">
        <f t="shared" si="23"/>
        <v>3865.5959999999995</v>
      </c>
      <c r="G107" s="11">
        <f t="shared" si="24"/>
        <v>3833.112</v>
      </c>
      <c r="H107" s="11">
        <f t="shared" si="25"/>
        <v>844.5840000000001</v>
      </c>
      <c r="I107" s="11">
        <f t="shared" si="26"/>
        <v>194.90399999999997</v>
      </c>
      <c r="J107" s="11">
        <f t="shared" si="27"/>
        <v>584.712</v>
      </c>
      <c r="K107" s="11">
        <f>4*6*2</f>
        <v>48</v>
      </c>
      <c r="L107" s="8">
        <f>144.73*8</f>
        <v>1157.84</v>
      </c>
      <c r="M107" s="8"/>
      <c r="N107" s="8"/>
      <c r="O107" s="16">
        <f t="shared" si="17"/>
        <v>744.4250000000001</v>
      </c>
      <c r="P107" s="24">
        <f t="shared" si="28"/>
        <v>12442.597</v>
      </c>
      <c r="Q107" s="24"/>
      <c r="R107" s="26">
        <f t="shared" si="18"/>
        <v>9988.829999999998</v>
      </c>
      <c r="S107" s="11"/>
      <c r="T107" s="11"/>
      <c r="U107" s="11"/>
      <c r="V107" s="11"/>
      <c r="W107" s="11"/>
      <c r="X107" s="11"/>
      <c r="Y107" s="24">
        <f t="shared" si="29"/>
        <v>0</v>
      </c>
      <c r="Z107" s="24">
        <f t="shared" si="19"/>
        <v>4190.436</v>
      </c>
      <c r="AA107" s="24"/>
      <c r="AB107" s="24">
        <f t="shared" si="32"/>
        <v>1591.716</v>
      </c>
      <c r="AC107" s="26">
        <f t="shared" si="20"/>
        <v>760.36</v>
      </c>
      <c r="AD107" s="8"/>
      <c r="AE107" s="8"/>
      <c r="AF107" s="26"/>
      <c r="AG107" s="24">
        <f t="shared" si="21"/>
        <v>3833.112</v>
      </c>
      <c r="AH107" s="24"/>
      <c r="AI107" s="24">
        <f t="shared" si="30"/>
        <v>32807.051</v>
      </c>
    </row>
    <row r="108" spans="1:35" ht="15.75">
      <c r="A108" s="3" t="s">
        <v>82</v>
      </c>
      <c r="B108" s="4" t="s">
        <v>69</v>
      </c>
      <c r="C108" s="3" t="s">
        <v>2</v>
      </c>
      <c r="D108" s="18">
        <v>424.8</v>
      </c>
      <c r="E108" s="11">
        <f t="shared" si="22"/>
        <v>1835.136</v>
      </c>
      <c r="F108" s="11">
        <f t="shared" si="23"/>
        <v>6066.144</v>
      </c>
      <c r="G108" s="11">
        <f t="shared" si="24"/>
        <v>6015.168</v>
      </c>
      <c r="H108" s="11">
        <f t="shared" si="25"/>
        <v>1325.3760000000002</v>
      </c>
      <c r="I108" s="11">
        <f t="shared" si="26"/>
        <v>305.856</v>
      </c>
      <c r="J108" s="11">
        <f t="shared" si="27"/>
        <v>917.568</v>
      </c>
      <c r="K108" s="11">
        <f>8*6*2</f>
        <v>96</v>
      </c>
      <c r="L108" s="8">
        <f>144.73*12</f>
        <v>1736.7599999999998</v>
      </c>
      <c r="M108" s="8"/>
      <c r="N108" s="8"/>
      <c r="O108" s="16">
        <f t="shared" si="17"/>
        <v>1168.2</v>
      </c>
      <c r="P108" s="24">
        <f t="shared" si="28"/>
        <v>19466.208</v>
      </c>
      <c r="Q108" s="24"/>
      <c r="R108" s="26">
        <f t="shared" si="18"/>
        <v>15675.12</v>
      </c>
      <c r="S108" s="11"/>
      <c r="T108" s="11"/>
      <c r="U108" s="11"/>
      <c r="V108" s="11"/>
      <c r="W108" s="11"/>
      <c r="X108" s="11">
        <v>5000</v>
      </c>
      <c r="Y108" s="24">
        <f t="shared" si="29"/>
        <v>5000</v>
      </c>
      <c r="Z108" s="24">
        <f t="shared" si="19"/>
        <v>6575.904</v>
      </c>
      <c r="AA108" s="24"/>
      <c r="AB108" s="24">
        <f t="shared" si="32"/>
        <v>2497.824</v>
      </c>
      <c r="AC108" s="26">
        <f t="shared" si="20"/>
        <v>1191.8400000000001</v>
      </c>
      <c r="AD108" s="8"/>
      <c r="AE108" s="8"/>
      <c r="AF108" s="26"/>
      <c r="AG108" s="24">
        <f t="shared" si="21"/>
        <v>6015.168</v>
      </c>
      <c r="AH108" s="24"/>
      <c r="AI108" s="24">
        <f t="shared" si="30"/>
        <v>56422.064000000006</v>
      </c>
    </row>
    <row r="109" spans="1:35" ht="15.75">
      <c r="A109" s="3" t="s">
        <v>82</v>
      </c>
      <c r="B109" s="4" t="s">
        <v>9</v>
      </c>
      <c r="C109" s="3" t="s">
        <v>2</v>
      </c>
      <c r="D109" s="18">
        <v>3200.3</v>
      </c>
      <c r="E109" s="11">
        <f t="shared" si="22"/>
        <v>13825.295999999998</v>
      </c>
      <c r="F109" s="11">
        <f t="shared" si="23"/>
        <v>45700.284</v>
      </c>
      <c r="G109" s="11">
        <f t="shared" si="24"/>
        <v>45316.248</v>
      </c>
      <c r="H109" s="11">
        <f t="shared" si="25"/>
        <v>9984.936000000002</v>
      </c>
      <c r="I109" s="11">
        <f t="shared" si="26"/>
        <v>2304.216</v>
      </c>
      <c r="J109" s="11">
        <f t="shared" si="27"/>
        <v>6912.647999999999</v>
      </c>
      <c r="K109" s="11">
        <f>80*6*2</f>
        <v>960</v>
      </c>
      <c r="L109" s="8">
        <f>144.73*2</f>
        <v>289.46</v>
      </c>
      <c r="M109" s="8"/>
      <c r="N109" s="8"/>
      <c r="O109" s="16">
        <f t="shared" si="17"/>
        <v>8800.825</v>
      </c>
      <c r="P109" s="24">
        <f t="shared" si="28"/>
        <v>134093.91300000003</v>
      </c>
      <c r="Q109" s="24">
        <f aca="true" t="shared" si="33" ref="Q109:Q114">D109*1.27*5+D109*1.34*7</f>
        <v>50340.71900000001</v>
      </c>
      <c r="R109" s="26">
        <f t="shared" si="18"/>
        <v>118091.07000000002</v>
      </c>
      <c r="S109" s="11"/>
      <c r="T109" s="11"/>
      <c r="U109" s="11"/>
      <c r="V109" s="11"/>
      <c r="W109" s="11"/>
      <c r="X109" s="11">
        <v>6000</v>
      </c>
      <c r="Y109" s="24">
        <f t="shared" si="29"/>
        <v>6000</v>
      </c>
      <c r="Z109" s="24">
        <f t="shared" si="19"/>
        <v>49540.64400000001</v>
      </c>
      <c r="AA109" s="24"/>
      <c r="AB109" s="24">
        <f t="shared" si="32"/>
        <v>18817.764000000003</v>
      </c>
      <c r="AC109" s="26">
        <f t="shared" si="20"/>
        <v>8963.24</v>
      </c>
      <c r="AD109" s="8"/>
      <c r="AE109" s="8"/>
      <c r="AF109" s="26"/>
      <c r="AG109" s="24">
        <f t="shared" si="21"/>
        <v>45316.248</v>
      </c>
      <c r="AH109" s="24"/>
      <c r="AI109" s="24">
        <f t="shared" si="30"/>
        <v>431163.5980000001</v>
      </c>
    </row>
    <row r="110" spans="1:35" ht="15.75">
      <c r="A110" s="3" t="s">
        <v>82</v>
      </c>
      <c r="B110" s="4" t="s">
        <v>10</v>
      </c>
      <c r="C110" s="3" t="s">
        <v>2</v>
      </c>
      <c r="D110" s="18">
        <v>3200.3</v>
      </c>
      <c r="E110" s="11">
        <f t="shared" si="22"/>
        <v>13825.295999999998</v>
      </c>
      <c r="F110" s="11">
        <f t="shared" si="23"/>
        <v>45700.284</v>
      </c>
      <c r="G110" s="11">
        <f t="shared" si="24"/>
        <v>45316.248</v>
      </c>
      <c r="H110" s="11">
        <f t="shared" si="25"/>
        <v>9984.936000000002</v>
      </c>
      <c r="I110" s="11">
        <f t="shared" si="26"/>
        <v>2304.216</v>
      </c>
      <c r="J110" s="11">
        <f t="shared" si="27"/>
        <v>6912.647999999999</v>
      </c>
      <c r="K110" s="11">
        <f>60*6*2</f>
        <v>720</v>
      </c>
      <c r="L110" s="8">
        <f>144.73*3</f>
        <v>434.18999999999994</v>
      </c>
      <c r="M110" s="8"/>
      <c r="N110" s="8"/>
      <c r="O110" s="16">
        <f t="shared" si="17"/>
        <v>8800.825</v>
      </c>
      <c r="P110" s="24">
        <f t="shared" si="28"/>
        <v>133998.643</v>
      </c>
      <c r="Q110" s="24">
        <f t="shared" si="33"/>
        <v>50340.71900000001</v>
      </c>
      <c r="R110" s="26">
        <f t="shared" si="18"/>
        <v>118091.07000000002</v>
      </c>
      <c r="S110" s="11"/>
      <c r="T110" s="11"/>
      <c r="U110" s="11"/>
      <c r="V110" s="11"/>
      <c r="W110" s="11"/>
      <c r="X110" s="11"/>
      <c r="Y110" s="24">
        <f t="shared" si="29"/>
        <v>0</v>
      </c>
      <c r="Z110" s="24">
        <f t="shared" si="19"/>
        <v>49540.64400000001</v>
      </c>
      <c r="AA110" s="24"/>
      <c r="AB110" s="24">
        <f t="shared" si="32"/>
        <v>18817.764000000003</v>
      </c>
      <c r="AC110" s="26">
        <f t="shared" si="20"/>
        <v>8963.24</v>
      </c>
      <c r="AD110" s="8"/>
      <c r="AE110" s="8"/>
      <c r="AF110" s="26"/>
      <c r="AG110" s="24">
        <f t="shared" si="21"/>
        <v>45316.248</v>
      </c>
      <c r="AH110" s="24"/>
      <c r="AI110" s="24">
        <f t="shared" si="30"/>
        <v>425068.3280000001</v>
      </c>
    </row>
    <row r="111" spans="1:35" ht="15.75">
      <c r="A111" s="3" t="s">
        <v>82</v>
      </c>
      <c r="B111" s="4" t="s">
        <v>13</v>
      </c>
      <c r="C111" s="3" t="s">
        <v>2</v>
      </c>
      <c r="D111" s="18">
        <v>3181.3</v>
      </c>
      <c r="E111" s="11">
        <f t="shared" si="22"/>
        <v>13743.216</v>
      </c>
      <c r="F111" s="11">
        <f t="shared" si="23"/>
        <v>45428.964</v>
      </c>
      <c r="G111" s="11">
        <f t="shared" si="24"/>
        <v>45047.208</v>
      </c>
      <c r="H111" s="11">
        <f t="shared" si="25"/>
        <v>9925.656</v>
      </c>
      <c r="I111" s="11">
        <f t="shared" si="26"/>
        <v>2290.536</v>
      </c>
      <c r="J111" s="11">
        <f t="shared" si="27"/>
        <v>6871.608</v>
      </c>
      <c r="K111" s="11">
        <f>80*6*2</f>
        <v>960</v>
      </c>
      <c r="L111" s="8">
        <f>144.73*2</f>
        <v>289.46</v>
      </c>
      <c r="M111" s="8"/>
      <c r="N111" s="8"/>
      <c r="O111" s="16">
        <f t="shared" si="17"/>
        <v>8748.575</v>
      </c>
      <c r="P111" s="24">
        <f t="shared" si="28"/>
        <v>133305.22300000003</v>
      </c>
      <c r="Q111" s="24">
        <f t="shared" si="33"/>
        <v>50041.849</v>
      </c>
      <c r="R111" s="26">
        <f t="shared" si="18"/>
        <v>117389.97000000003</v>
      </c>
      <c r="S111" s="11"/>
      <c r="T111" s="11"/>
      <c r="U111" s="11"/>
      <c r="V111" s="11"/>
      <c r="W111" s="11"/>
      <c r="X111" s="11"/>
      <c r="Y111" s="24">
        <f t="shared" si="29"/>
        <v>0</v>
      </c>
      <c r="Z111" s="24">
        <f t="shared" si="19"/>
        <v>49246.524000000005</v>
      </c>
      <c r="AA111" s="24"/>
      <c r="AB111" s="24">
        <f t="shared" si="32"/>
        <v>18706.044</v>
      </c>
      <c r="AC111" s="26">
        <f t="shared" si="20"/>
        <v>8910.04</v>
      </c>
      <c r="AD111" s="8"/>
      <c r="AE111" s="8"/>
      <c r="AF111" s="26"/>
      <c r="AG111" s="24">
        <f t="shared" si="21"/>
        <v>45047.208</v>
      </c>
      <c r="AH111" s="24"/>
      <c r="AI111" s="24">
        <f t="shared" si="30"/>
        <v>422646.85800000007</v>
      </c>
    </row>
    <row r="112" spans="1:35" ht="15.75">
      <c r="A112" s="3" t="s">
        <v>82</v>
      </c>
      <c r="B112" s="4" t="s">
        <v>15</v>
      </c>
      <c r="C112" s="3" t="s">
        <v>2</v>
      </c>
      <c r="D112" s="18">
        <v>3172.8</v>
      </c>
      <c r="E112" s="11">
        <f t="shared" si="22"/>
        <v>13706.496000000001</v>
      </c>
      <c r="F112" s="11">
        <f t="shared" si="23"/>
        <v>45307.584</v>
      </c>
      <c r="G112" s="11">
        <f t="shared" si="24"/>
        <v>44926.848</v>
      </c>
      <c r="H112" s="11">
        <f t="shared" si="25"/>
        <v>9899.136000000002</v>
      </c>
      <c r="I112" s="11">
        <f t="shared" si="26"/>
        <v>2284.416</v>
      </c>
      <c r="J112" s="11">
        <f t="shared" si="27"/>
        <v>6853.2480000000005</v>
      </c>
      <c r="K112" s="11">
        <f>80*6*2</f>
        <v>960</v>
      </c>
      <c r="L112" s="8">
        <f>144.73*3</f>
        <v>434.18999999999994</v>
      </c>
      <c r="M112" s="8"/>
      <c r="N112" s="8"/>
      <c r="O112" s="16">
        <f t="shared" si="17"/>
        <v>8725.2</v>
      </c>
      <c r="P112" s="24">
        <f t="shared" si="28"/>
        <v>133097.11800000002</v>
      </c>
      <c r="Q112" s="24">
        <f t="shared" si="33"/>
        <v>49908.144</v>
      </c>
      <c r="R112" s="26">
        <f t="shared" si="18"/>
        <v>117076.32000000002</v>
      </c>
      <c r="S112" s="11"/>
      <c r="T112" s="11"/>
      <c r="U112" s="11"/>
      <c r="V112" s="11"/>
      <c r="W112" s="11"/>
      <c r="X112" s="11"/>
      <c r="Y112" s="24">
        <f t="shared" si="29"/>
        <v>0</v>
      </c>
      <c r="Z112" s="24">
        <f t="shared" si="19"/>
        <v>49114.944</v>
      </c>
      <c r="AA112" s="24"/>
      <c r="AB112" s="24">
        <f t="shared" si="32"/>
        <v>18656.064</v>
      </c>
      <c r="AC112" s="26">
        <f t="shared" si="20"/>
        <v>8886.24</v>
      </c>
      <c r="AD112" s="8"/>
      <c r="AE112" s="8"/>
      <c r="AF112" s="26"/>
      <c r="AG112" s="24">
        <f t="shared" si="21"/>
        <v>44926.848</v>
      </c>
      <c r="AH112" s="24"/>
      <c r="AI112" s="24">
        <f t="shared" si="30"/>
        <v>421665.6780000001</v>
      </c>
    </row>
    <row r="113" spans="1:35" ht="15.75">
      <c r="A113" s="3" t="s">
        <v>82</v>
      </c>
      <c r="B113" s="4" t="s">
        <v>83</v>
      </c>
      <c r="C113" s="3" t="s">
        <v>2</v>
      </c>
      <c r="D113" s="18">
        <v>3515.1</v>
      </c>
      <c r="E113" s="11">
        <f t="shared" si="22"/>
        <v>15185.232</v>
      </c>
      <c r="F113" s="11">
        <f t="shared" si="23"/>
        <v>50195.628</v>
      </c>
      <c r="G113" s="11">
        <f t="shared" si="24"/>
        <v>49773.81599999999</v>
      </c>
      <c r="H113" s="11">
        <f t="shared" si="25"/>
        <v>10967.112000000001</v>
      </c>
      <c r="I113" s="11">
        <f t="shared" si="26"/>
        <v>2530.872</v>
      </c>
      <c r="J113" s="11">
        <f t="shared" si="27"/>
        <v>7592.616</v>
      </c>
      <c r="K113" s="11">
        <f>78*6*2</f>
        <v>936</v>
      </c>
      <c r="L113" s="8">
        <f>144.73*3</f>
        <v>434.18999999999994</v>
      </c>
      <c r="M113" s="8"/>
      <c r="N113" s="8"/>
      <c r="O113" s="16">
        <f t="shared" si="17"/>
        <v>9666.525</v>
      </c>
      <c r="P113" s="24">
        <f t="shared" si="28"/>
        <v>147281.991</v>
      </c>
      <c r="Q113" s="24">
        <f t="shared" si="33"/>
        <v>55292.523</v>
      </c>
      <c r="R113" s="26">
        <f t="shared" si="18"/>
        <v>129707.18999999999</v>
      </c>
      <c r="S113" s="11"/>
      <c r="T113" s="11"/>
      <c r="U113" s="11"/>
      <c r="V113" s="11"/>
      <c r="W113" s="11"/>
      <c r="X113" s="11">
        <v>159000</v>
      </c>
      <c r="Y113" s="24">
        <f t="shared" si="29"/>
        <v>159000</v>
      </c>
      <c r="Z113" s="24">
        <f t="shared" si="19"/>
        <v>54413.74800000001</v>
      </c>
      <c r="AA113" s="24"/>
      <c r="AB113" s="24">
        <f t="shared" si="32"/>
        <v>20668.788</v>
      </c>
      <c r="AC113" s="26">
        <f t="shared" si="20"/>
        <v>9844.679999999998</v>
      </c>
      <c r="AD113" s="8"/>
      <c r="AE113" s="8"/>
      <c r="AF113" s="26"/>
      <c r="AG113" s="24">
        <f t="shared" si="21"/>
        <v>49773.81599999999</v>
      </c>
      <c r="AH113" s="24"/>
      <c r="AI113" s="24">
        <f t="shared" si="30"/>
        <v>625982.736</v>
      </c>
    </row>
    <row r="114" spans="1:35" ht="15.75">
      <c r="A114" s="3" t="s">
        <v>82</v>
      </c>
      <c r="B114" s="4" t="s">
        <v>84</v>
      </c>
      <c r="C114" s="3" t="s">
        <v>2</v>
      </c>
      <c r="D114" s="18">
        <v>3499.1</v>
      </c>
      <c r="E114" s="11">
        <f t="shared" si="22"/>
        <v>15116.112</v>
      </c>
      <c r="F114" s="11">
        <f t="shared" si="23"/>
        <v>49967.148</v>
      </c>
      <c r="G114" s="11">
        <f t="shared" si="24"/>
        <v>49547.256</v>
      </c>
      <c r="H114" s="11">
        <f t="shared" si="25"/>
        <v>10917.192</v>
      </c>
      <c r="I114" s="11">
        <f t="shared" si="26"/>
        <v>2519.352</v>
      </c>
      <c r="J114" s="11">
        <f t="shared" si="27"/>
        <v>7558.056</v>
      </c>
      <c r="K114" s="11">
        <f>78*6*2</f>
        <v>936</v>
      </c>
      <c r="L114" s="8">
        <f>144.73*2</f>
        <v>289.46</v>
      </c>
      <c r="M114" s="8"/>
      <c r="N114" s="8"/>
      <c r="O114" s="16">
        <f t="shared" si="17"/>
        <v>9622.525000000001</v>
      </c>
      <c r="P114" s="24">
        <f t="shared" si="28"/>
        <v>146473.101</v>
      </c>
      <c r="Q114" s="24">
        <f t="shared" si="33"/>
        <v>55040.84299999999</v>
      </c>
      <c r="R114" s="26">
        <f t="shared" si="18"/>
        <v>129116.79</v>
      </c>
      <c r="S114" s="11"/>
      <c r="T114" s="11"/>
      <c r="U114" s="11"/>
      <c r="V114" s="11"/>
      <c r="W114" s="11"/>
      <c r="X114" s="11">
        <v>126400</v>
      </c>
      <c r="Y114" s="24">
        <f t="shared" si="29"/>
        <v>126400</v>
      </c>
      <c r="Z114" s="24">
        <f t="shared" si="19"/>
        <v>54166.068</v>
      </c>
      <c r="AA114" s="24"/>
      <c r="AB114" s="24">
        <f t="shared" si="32"/>
        <v>20574.708</v>
      </c>
      <c r="AC114" s="26">
        <f t="shared" si="20"/>
        <v>9799.880000000001</v>
      </c>
      <c r="AD114" s="8"/>
      <c r="AE114" s="8"/>
      <c r="AF114" s="26"/>
      <c r="AG114" s="24">
        <f t="shared" si="21"/>
        <v>49547.256</v>
      </c>
      <c r="AH114" s="24"/>
      <c r="AI114" s="24">
        <f t="shared" si="30"/>
        <v>591118.6460000001</v>
      </c>
    </row>
    <row r="115" spans="1:35" ht="15.75">
      <c r="A115" s="3" t="s">
        <v>82</v>
      </c>
      <c r="B115" s="4" t="s">
        <v>44</v>
      </c>
      <c r="C115" s="3" t="s">
        <v>2</v>
      </c>
      <c r="D115" s="18">
        <v>969.2</v>
      </c>
      <c r="E115" s="11">
        <f t="shared" si="22"/>
        <v>4186.9439999999995</v>
      </c>
      <c r="F115" s="11">
        <f t="shared" si="23"/>
        <v>13840.176</v>
      </c>
      <c r="G115" s="11">
        <f t="shared" si="24"/>
        <v>13723.872</v>
      </c>
      <c r="H115" s="11">
        <f t="shared" si="25"/>
        <v>3023.9040000000005</v>
      </c>
      <c r="I115" s="11">
        <f t="shared" si="26"/>
        <v>697.8240000000001</v>
      </c>
      <c r="J115" s="11">
        <f t="shared" si="27"/>
        <v>2093.4719999999998</v>
      </c>
      <c r="K115" s="11">
        <f>24*8*4+24*6*2</f>
        <v>1056</v>
      </c>
      <c r="L115" s="8">
        <f>144.73*30</f>
        <v>4341.9</v>
      </c>
      <c r="M115" s="8"/>
      <c r="N115" s="8"/>
      <c r="O115" s="16">
        <f t="shared" si="17"/>
        <v>2665.3</v>
      </c>
      <c r="P115" s="24">
        <f t="shared" si="28"/>
        <v>45629.39200000001</v>
      </c>
      <c r="Q115" s="24"/>
      <c r="R115" s="26">
        <f t="shared" si="18"/>
        <v>35763.48000000001</v>
      </c>
      <c r="S115" s="11">
        <f>50*700</f>
        <v>35000</v>
      </c>
      <c r="T115" s="11"/>
      <c r="U115" s="11"/>
      <c r="V115" s="11">
        <f>150*150</f>
        <v>22500</v>
      </c>
      <c r="W115" s="11"/>
      <c r="X115" s="11"/>
      <c r="Y115" s="24">
        <f t="shared" si="29"/>
        <v>57500</v>
      </c>
      <c r="Z115" s="24">
        <f t="shared" si="19"/>
        <v>15003.216</v>
      </c>
      <c r="AA115" s="24"/>
      <c r="AB115" s="24">
        <f t="shared" si="32"/>
        <v>5698.896000000001</v>
      </c>
      <c r="AC115" s="26">
        <f t="shared" si="20"/>
        <v>2716.1600000000003</v>
      </c>
      <c r="AD115" s="8"/>
      <c r="AE115" s="8"/>
      <c r="AF115" s="26"/>
      <c r="AG115" s="24">
        <f t="shared" si="21"/>
        <v>13723.872</v>
      </c>
      <c r="AH115" s="24">
        <v>57500</v>
      </c>
      <c r="AI115" s="24">
        <f t="shared" si="30"/>
        <v>233535.01600000006</v>
      </c>
    </row>
    <row r="116" spans="1:35" ht="15.75">
      <c r="A116" s="3" t="s">
        <v>82</v>
      </c>
      <c r="B116" s="4" t="s">
        <v>66</v>
      </c>
      <c r="C116" s="3" t="s">
        <v>2</v>
      </c>
      <c r="D116" s="18">
        <v>2045.3</v>
      </c>
      <c r="E116" s="11">
        <f t="shared" si="22"/>
        <v>8835.696</v>
      </c>
      <c r="F116" s="11">
        <f t="shared" si="23"/>
        <v>29206.884</v>
      </c>
      <c r="G116" s="11">
        <f t="shared" si="24"/>
        <v>28961.447999999997</v>
      </c>
      <c r="H116" s="11">
        <f t="shared" si="25"/>
        <v>6381.336</v>
      </c>
      <c r="I116" s="11">
        <f t="shared" si="26"/>
        <v>1472.616</v>
      </c>
      <c r="J116" s="11">
        <f t="shared" si="27"/>
        <v>4417.848</v>
      </c>
      <c r="K116" s="11">
        <f>48*8*4+48*6*2</f>
        <v>2112</v>
      </c>
      <c r="L116" s="8">
        <f>144.73*3</f>
        <v>434.18999999999994</v>
      </c>
      <c r="M116" s="8"/>
      <c r="N116" s="8"/>
      <c r="O116" s="16">
        <f t="shared" si="17"/>
        <v>5624.575</v>
      </c>
      <c r="P116" s="24">
        <f t="shared" si="28"/>
        <v>87446.59299999998</v>
      </c>
      <c r="Q116" s="24">
        <f aca="true" t="shared" si="34" ref="Q116:Q129">D116*1.27*5+D116*1.34*7</f>
        <v>32172.569</v>
      </c>
      <c r="R116" s="26">
        <f t="shared" si="18"/>
        <v>75471.56999999999</v>
      </c>
      <c r="S116" s="11"/>
      <c r="T116" s="11"/>
      <c r="U116" s="11"/>
      <c r="V116" s="11"/>
      <c r="W116" s="11">
        <f>6*220</f>
        <v>1320</v>
      </c>
      <c r="X116" s="11"/>
      <c r="Y116" s="24">
        <f t="shared" si="29"/>
        <v>1320</v>
      </c>
      <c r="Z116" s="24">
        <f t="shared" si="19"/>
        <v>31661.244</v>
      </c>
      <c r="AA116" s="24"/>
      <c r="AB116" s="24">
        <f t="shared" si="32"/>
        <v>12026.364</v>
      </c>
      <c r="AC116" s="26">
        <f t="shared" si="20"/>
        <v>5729.24</v>
      </c>
      <c r="AD116" s="8"/>
      <c r="AE116" s="8"/>
      <c r="AF116" s="26"/>
      <c r="AG116" s="24">
        <f t="shared" si="21"/>
        <v>28961.447999999997</v>
      </c>
      <c r="AH116" s="24">
        <v>57500</v>
      </c>
      <c r="AI116" s="24">
        <f t="shared" si="30"/>
        <v>332289.02799999993</v>
      </c>
    </row>
    <row r="117" spans="1:35" ht="15.75">
      <c r="A117" s="3" t="s">
        <v>85</v>
      </c>
      <c r="B117" s="4" t="s">
        <v>1</v>
      </c>
      <c r="C117" s="3" t="s">
        <v>2</v>
      </c>
      <c r="D117" s="18">
        <v>2888.6</v>
      </c>
      <c r="E117" s="11">
        <f t="shared" si="22"/>
        <v>12478.752</v>
      </c>
      <c r="F117" s="11">
        <f t="shared" si="23"/>
        <v>41249.208</v>
      </c>
      <c r="G117" s="11">
        <f t="shared" si="24"/>
        <v>40902.576</v>
      </c>
      <c r="H117" s="11">
        <f t="shared" si="25"/>
        <v>9012.432</v>
      </c>
      <c r="I117" s="11">
        <f t="shared" si="26"/>
        <v>2079.7919999999995</v>
      </c>
      <c r="J117" s="11">
        <f t="shared" si="27"/>
        <v>6239.376</v>
      </c>
      <c r="K117" s="11">
        <f>32*8*4+32*6*2</f>
        <v>1408</v>
      </c>
      <c r="L117" s="8">
        <f>144.73*3</f>
        <v>434.18999999999994</v>
      </c>
      <c r="M117" s="8"/>
      <c r="N117" s="8"/>
      <c r="O117" s="16">
        <f t="shared" si="17"/>
        <v>7943.65</v>
      </c>
      <c r="P117" s="24">
        <f t="shared" si="28"/>
        <v>121747.976</v>
      </c>
      <c r="Q117" s="24">
        <f t="shared" si="34"/>
        <v>45437.678</v>
      </c>
      <c r="R117" s="26">
        <f t="shared" si="18"/>
        <v>106589.34</v>
      </c>
      <c r="S117" s="11">
        <f>35*700</f>
        <v>24500</v>
      </c>
      <c r="T117" s="11"/>
      <c r="U117" s="11"/>
      <c r="V117" s="11">
        <f>257*150</f>
        <v>38550</v>
      </c>
      <c r="W117" s="11"/>
      <c r="X117" s="11"/>
      <c r="Y117" s="24">
        <f t="shared" si="29"/>
        <v>63050</v>
      </c>
      <c r="Z117" s="24">
        <f t="shared" si="19"/>
        <v>44715.528</v>
      </c>
      <c r="AA117" s="24"/>
      <c r="AB117" s="24">
        <f t="shared" si="32"/>
        <v>16984.968</v>
      </c>
      <c r="AC117" s="26">
        <f t="shared" si="20"/>
        <v>8090.48</v>
      </c>
      <c r="AD117" s="8"/>
      <c r="AE117" s="8"/>
      <c r="AF117" s="26"/>
      <c r="AG117" s="24">
        <f t="shared" si="21"/>
        <v>40902.576</v>
      </c>
      <c r="AH117" s="24"/>
      <c r="AI117" s="24">
        <f t="shared" si="30"/>
        <v>447518.5459999999</v>
      </c>
    </row>
    <row r="118" spans="1:35" ht="15.75">
      <c r="A118" s="3" t="s">
        <v>85</v>
      </c>
      <c r="B118" s="4" t="s">
        <v>86</v>
      </c>
      <c r="C118" s="3" t="s">
        <v>2</v>
      </c>
      <c r="D118" s="18">
        <v>2559.6</v>
      </c>
      <c r="E118" s="11">
        <f t="shared" si="22"/>
        <v>11057.471999999998</v>
      </c>
      <c r="F118" s="11">
        <f t="shared" si="23"/>
        <v>36551.088</v>
      </c>
      <c r="G118" s="11">
        <f t="shared" si="24"/>
        <v>36243.935999999994</v>
      </c>
      <c r="H118" s="11">
        <f t="shared" si="25"/>
        <v>7985.951999999999</v>
      </c>
      <c r="I118" s="11">
        <f t="shared" si="26"/>
        <v>1842.9119999999998</v>
      </c>
      <c r="J118" s="11">
        <f t="shared" si="27"/>
        <v>5528.735999999999</v>
      </c>
      <c r="K118" s="11">
        <f>60*8+60*6*2</f>
        <v>1200</v>
      </c>
      <c r="L118" s="8">
        <f>144.73*3</f>
        <v>434.18999999999994</v>
      </c>
      <c r="M118" s="8"/>
      <c r="N118" s="8"/>
      <c r="O118" s="16">
        <f t="shared" si="17"/>
        <v>7038.9</v>
      </c>
      <c r="P118" s="24">
        <f t="shared" si="28"/>
        <v>107883.18599999999</v>
      </c>
      <c r="Q118" s="24">
        <f t="shared" si="34"/>
        <v>40262.508</v>
      </c>
      <c r="R118" s="26">
        <f t="shared" si="18"/>
        <v>94449.23999999999</v>
      </c>
      <c r="S118" s="11"/>
      <c r="T118" s="11"/>
      <c r="U118" s="11"/>
      <c r="V118" s="11"/>
      <c r="W118" s="11"/>
      <c r="X118" s="11"/>
      <c r="Y118" s="24">
        <f t="shared" si="29"/>
        <v>0</v>
      </c>
      <c r="Z118" s="24">
        <f t="shared" si="19"/>
        <v>39622.608</v>
      </c>
      <c r="AA118" s="24"/>
      <c r="AB118" s="24">
        <f t="shared" si="32"/>
        <v>15050.448</v>
      </c>
      <c r="AC118" s="26">
        <f t="shared" si="20"/>
        <v>7169.28</v>
      </c>
      <c r="AD118" s="8"/>
      <c r="AE118" s="8"/>
      <c r="AF118" s="26"/>
      <c r="AG118" s="24">
        <f t="shared" si="21"/>
        <v>36243.935999999994</v>
      </c>
      <c r="AH118" s="24"/>
      <c r="AI118" s="24">
        <f t="shared" si="30"/>
        <v>340681.20599999995</v>
      </c>
    </row>
    <row r="119" spans="1:35" ht="15.75">
      <c r="A119" s="3" t="s">
        <v>85</v>
      </c>
      <c r="B119" s="4" t="s">
        <v>87</v>
      </c>
      <c r="C119" s="3" t="s">
        <v>2</v>
      </c>
      <c r="D119" s="18">
        <v>2587.6</v>
      </c>
      <c r="E119" s="11">
        <f t="shared" si="22"/>
        <v>11178.431999999999</v>
      </c>
      <c r="F119" s="11">
        <f t="shared" si="23"/>
        <v>36950.928</v>
      </c>
      <c r="G119" s="11">
        <f t="shared" si="24"/>
        <v>36640.416</v>
      </c>
      <c r="H119" s="11">
        <f t="shared" si="25"/>
        <v>8073.312</v>
      </c>
      <c r="I119" s="11">
        <f t="shared" si="26"/>
        <v>1863.0720000000001</v>
      </c>
      <c r="J119" s="11">
        <f t="shared" si="27"/>
        <v>5589.215999999999</v>
      </c>
      <c r="K119" s="11">
        <f>60*6*2</f>
        <v>720</v>
      </c>
      <c r="L119" s="8">
        <f>144.73*3</f>
        <v>434.18999999999994</v>
      </c>
      <c r="M119" s="8"/>
      <c r="N119" s="8"/>
      <c r="O119" s="16">
        <f t="shared" si="17"/>
        <v>7115.900000000001</v>
      </c>
      <c r="P119" s="24">
        <f t="shared" si="28"/>
        <v>108565.466</v>
      </c>
      <c r="Q119" s="24">
        <f t="shared" si="34"/>
        <v>40702.948000000004</v>
      </c>
      <c r="R119" s="26">
        <f t="shared" si="18"/>
        <v>95482.43999999999</v>
      </c>
      <c r="S119" s="11"/>
      <c r="T119" s="11"/>
      <c r="U119" s="11"/>
      <c r="V119" s="11"/>
      <c r="W119" s="11"/>
      <c r="X119" s="11"/>
      <c r="Y119" s="24">
        <f t="shared" si="29"/>
        <v>0</v>
      </c>
      <c r="Z119" s="24">
        <f t="shared" si="19"/>
        <v>40056.047999999995</v>
      </c>
      <c r="AA119" s="24"/>
      <c r="AB119" s="24">
        <f t="shared" si="32"/>
        <v>15215.088</v>
      </c>
      <c r="AC119" s="26">
        <f t="shared" si="20"/>
        <v>7247.679999999999</v>
      </c>
      <c r="AD119" s="8"/>
      <c r="AE119" s="8"/>
      <c r="AF119" s="26"/>
      <c r="AG119" s="24">
        <f t="shared" si="21"/>
        <v>36640.416</v>
      </c>
      <c r="AH119" s="24"/>
      <c r="AI119" s="24">
        <f t="shared" si="30"/>
        <v>343910.086</v>
      </c>
    </row>
    <row r="120" spans="1:35" ht="15.75">
      <c r="A120" s="3" t="s">
        <v>85</v>
      </c>
      <c r="B120" s="4" t="s">
        <v>88</v>
      </c>
      <c r="C120" s="3" t="s">
        <v>2</v>
      </c>
      <c r="D120" s="18">
        <v>3426.2</v>
      </c>
      <c r="E120" s="11">
        <f t="shared" si="22"/>
        <v>14801.183999999997</v>
      </c>
      <c r="F120" s="11">
        <f t="shared" si="23"/>
        <v>48926.13599999999</v>
      </c>
      <c r="G120" s="11">
        <f t="shared" si="24"/>
        <v>48514.992</v>
      </c>
      <c r="H120" s="11">
        <f t="shared" si="25"/>
        <v>10689.744</v>
      </c>
      <c r="I120" s="11">
        <f t="shared" si="26"/>
        <v>2466.8639999999996</v>
      </c>
      <c r="J120" s="11">
        <f t="shared" si="27"/>
        <v>7400.591999999999</v>
      </c>
      <c r="K120" s="11">
        <f>70*6*2</f>
        <v>840</v>
      </c>
      <c r="L120" s="8">
        <f>144.73*82</f>
        <v>11867.859999999999</v>
      </c>
      <c r="M120" s="8"/>
      <c r="N120" s="8"/>
      <c r="O120" s="16">
        <f t="shared" si="17"/>
        <v>9422.050000000001</v>
      </c>
      <c r="P120" s="24">
        <f t="shared" si="28"/>
        <v>154929.42199999996</v>
      </c>
      <c r="Q120" s="24">
        <f t="shared" si="34"/>
        <v>53894.126</v>
      </c>
      <c r="R120" s="26">
        <f t="shared" si="18"/>
        <v>126426.77999999998</v>
      </c>
      <c r="S120" s="11"/>
      <c r="T120" s="11"/>
      <c r="U120" s="11"/>
      <c r="V120" s="11"/>
      <c r="W120" s="11"/>
      <c r="X120" s="11"/>
      <c r="Y120" s="24">
        <f t="shared" si="29"/>
        <v>0</v>
      </c>
      <c r="Z120" s="24">
        <f t="shared" si="19"/>
        <v>53037.576</v>
      </c>
      <c r="AA120" s="24"/>
      <c r="AB120" s="24">
        <f t="shared" si="32"/>
        <v>20146.056</v>
      </c>
      <c r="AC120" s="26">
        <f t="shared" si="20"/>
        <v>9595.76</v>
      </c>
      <c r="AD120" s="8"/>
      <c r="AE120" s="8"/>
      <c r="AF120" s="26"/>
      <c r="AG120" s="24">
        <f t="shared" si="21"/>
        <v>48514.992</v>
      </c>
      <c r="AH120" s="24"/>
      <c r="AI120" s="24">
        <f t="shared" si="30"/>
        <v>466544.71199999994</v>
      </c>
    </row>
    <row r="121" spans="1:35" ht="15.75">
      <c r="A121" s="3" t="s">
        <v>85</v>
      </c>
      <c r="B121" s="4" t="s">
        <v>71</v>
      </c>
      <c r="C121" s="3" t="s">
        <v>2</v>
      </c>
      <c r="D121" s="18">
        <v>2873.4</v>
      </c>
      <c r="E121" s="11">
        <f t="shared" si="22"/>
        <v>12413.088</v>
      </c>
      <c r="F121" s="11">
        <f t="shared" si="23"/>
        <v>41032.152</v>
      </c>
      <c r="G121" s="11">
        <f t="shared" si="24"/>
        <v>40687.344</v>
      </c>
      <c r="H121" s="11">
        <f t="shared" si="25"/>
        <v>8965.008000000002</v>
      </c>
      <c r="I121" s="11">
        <f t="shared" si="26"/>
        <v>2068.848</v>
      </c>
      <c r="J121" s="11">
        <f t="shared" si="27"/>
        <v>6206.544</v>
      </c>
      <c r="K121" s="11">
        <f>32*8*4+32*6*2</f>
        <v>1408</v>
      </c>
      <c r="L121" s="8">
        <f>144.73*3</f>
        <v>434.18999999999994</v>
      </c>
      <c r="M121" s="8"/>
      <c r="N121" s="8"/>
      <c r="O121" s="16">
        <f t="shared" si="17"/>
        <v>7901.85</v>
      </c>
      <c r="P121" s="24">
        <f t="shared" si="28"/>
        <v>121117.024</v>
      </c>
      <c r="Q121" s="24">
        <f t="shared" si="34"/>
        <v>45198.582</v>
      </c>
      <c r="R121" s="26">
        <f t="shared" si="18"/>
        <v>106028.46</v>
      </c>
      <c r="S121" s="11">
        <f>30*700</f>
        <v>21000</v>
      </c>
      <c r="T121" s="11"/>
      <c r="U121" s="11">
        <v>11205</v>
      </c>
      <c r="V121" s="11"/>
      <c r="W121" s="11"/>
      <c r="X121" s="11"/>
      <c r="Y121" s="24">
        <f t="shared" si="29"/>
        <v>32205</v>
      </c>
      <c r="Z121" s="24">
        <f t="shared" si="19"/>
        <v>44480.232</v>
      </c>
      <c r="AA121" s="24"/>
      <c r="AB121" s="24">
        <f t="shared" si="32"/>
        <v>16895.592</v>
      </c>
      <c r="AC121" s="26">
        <f t="shared" si="20"/>
        <v>8047.92</v>
      </c>
      <c r="AD121" s="8"/>
      <c r="AE121" s="8"/>
      <c r="AF121" s="26"/>
      <c r="AG121" s="24">
        <f t="shared" si="21"/>
        <v>40687.344</v>
      </c>
      <c r="AH121" s="24"/>
      <c r="AI121" s="24">
        <f t="shared" si="30"/>
        <v>414660.154</v>
      </c>
    </row>
    <row r="122" spans="1:35" ht="15.75">
      <c r="A122" s="3" t="s">
        <v>85</v>
      </c>
      <c r="B122" s="4" t="s">
        <v>16</v>
      </c>
      <c r="C122" s="3" t="s">
        <v>2</v>
      </c>
      <c r="D122" s="18">
        <v>3939.2</v>
      </c>
      <c r="E122" s="11">
        <f t="shared" si="22"/>
        <v>17017.343999999997</v>
      </c>
      <c r="F122" s="11">
        <f t="shared" si="23"/>
        <v>56251.77599999999</v>
      </c>
      <c r="G122" s="11">
        <f t="shared" si="24"/>
        <v>55779.07199999999</v>
      </c>
      <c r="H122" s="11">
        <f t="shared" si="25"/>
        <v>12290.304</v>
      </c>
      <c r="I122" s="11">
        <f t="shared" si="26"/>
        <v>2836.2239999999997</v>
      </c>
      <c r="J122" s="11">
        <f t="shared" si="27"/>
        <v>8508.671999999999</v>
      </c>
      <c r="K122" s="11">
        <f>70*6*2</f>
        <v>840</v>
      </c>
      <c r="L122" s="8">
        <f>144.73*86</f>
        <v>12446.779999999999</v>
      </c>
      <c r="M122" s="8"/>
      <c r="N122" s="8"/>
      <c r="O122" s="16">
        <f t="shared" si="17"/>
        <v>10832.8</v>
      </c>
      <c r="P122" s="24">
        <f t="shared" si="28"/>
        <v>176802.97199999995</v>
      </c>
      <c r="Q122" s="24">
        <f t="shared" si="34"/>
        <v>61963.616</v>
      </c>
      <c r="R122" s="26">
        <f t="shared" si="18"/>
        <v>145356.47999999998</v>
      </c>
      <c r="S122" s="11"/>
      <c r="T122" s="11">
        <f>200*135</f>
        <v>27000</v>
      </c>
      <c r="U122" s="11"/>
      <c r="V122" s="11"/>
      <c r="W122" s="11">
        <f>20*220</f>
        <v>4400</v>
      </c>
      <c r="X122" s="11">
        <v>94000</v>
      </c>
      <c r="Y122" s="24">
        <f t="shared" si="29"/>
        <v>125400</v>
      </c>
      <c r="Z122" s="24">
        <f t="shared" si="19"/>
        <v>60978.816000000006</v>
      </c>
      <c r="AA122" s="24"/>
      <c r="AB122" s="24">
        <f t="shared" si="32"/>
        <v>23162.496</v>
      </c>
      <c r="AC122" s="26">
        <f t="shared" si="20"/>
        <v>11032.16</v>
      </c>
      <c r="AD122" s="8"/>
      <c r="AE122" s="8"/>
      <c r="AF122" s="26"/>
      <c r="AG122" s="24">
        <f t="shared" si="21"/>
        <v>55779.07199999999</v>
      </c>
      <c r="AH122" s="24"/>
      <c r="AI122" s="24">
        <f t="shared" si="30"/>
        <v>660475.6120000001</v>
      </c>
    </row>
    <row r="123" spans="1:35" ht="15.75">
      <c r="A123" s="3" t="s">
        <v>85</v>
      </c>
      <c r="B123" s="4" t="s">
        <v>89</v>
      </c>
      <c r="C123" s="3" t="s">
        <v>2</v>
      </c>
      <c r="D123" s="18">
        <v>3515.2</v>
      </c>
      <c r="E123" s="11">
        <f t="shared" si="22"/>
        <v>15185.664</v>
      </c>
      <c r="F123" s="11">
        <f t="shared" si="23"/>
        <v>50197.056</v>
      </c>
      <c r="G123" s="11">
        <f t="shared" si="24"/>
        <v>49775.231999999996</v>
      </c>
      <c r="H123" s="11">
        <f t="shared" si="25"/>
        <v>10967.423999999999</v>
      </c>
      <c r="I123" s="11">
        <f t="shared" si="26"/>
        <v>2530.9439999999995</v>
      </c>
      <c r="J123" s="11">
        <f t="shared" si="27"/>
        <v>7592.832</v>
      </c>
      <c r="K123" s="11">
        <f>80*6*2</f>
        <v>960</v>
      </c>
      <c r="L123" s="8">
        <f>144.73*90</f>
        <v>13025.699999999999</v>
      </c>
      <c r="M123" s="8"/>
      <c r="N123" s="8"/>
      <c r="O123" s="16">
        <f t="shared" si="17"/>
        <v>9666.800000000001</v>
      </c>
      <c r="P123" s="24">
        <f t="shared" si="28"/>
        <v>159901.652</v>
      </c>
      <c r="Q123" s="24">
        <f t="shared" si="34"/>
        <v>55294.096000000005</v>
      </c>
      <c r="R123" s="26">
        <f t="shared" si="18"/>
        <v>129710.87999999998</v>
      </c>
      <c r="S123" s="11"/>
      <c r="T123" s="11"/>
      <c r="U123" s="11"/>
      <c r="V123" s="11"/>
      <c r="W123" s="11"/>
      <c r="X123" s="11">
        <v>136500</v>
      </c>
      <c r="Y123" s="24">
        <f t="shared" si="29"/>
        <v>136500</v>
      </c>
      <c r="Z123" s="24">
        <f t="shared" si="19"/>
        <v>54415.296</v>
      </c>
      <c r="AA123" s="24"/>
      <c r="AB123" s="24">
        <f t="shared" si="32"/>
        <v>20669.375999999997</v>
      </c>
      <c r="AC123" s="26">
        <f t="shared" si="20"/>
        <v>9844.96</v>
      </c>
      <c r="AD123" s="8"/>
      <c r="AE123" s="8"/>
      <c r="AF123" s="26"/>
      <c r="AG123" s="24">
        <f t="shared" si="21"/>
        <v>49775.231999999996</v>
      </c>
      <c r="AH123" s="24"/>
      <c r="AI123" s="24">
        <f t="shared" si="30"/>
        <v>616111.492</v>
      </c>
    </row>
    <row r="124" spans="1:35" ht="15.75">
      <c r="A124" s="3" t="s">
        <v>85</v>
      </c>
      <c r="B124" s="4" t="s">
        <v>44</v>
      </c>
      <c r="C124" s="3" t="s">
        <v>2</v>
      </c>
      <c r="D124" s="18">
        <v>3552.5</v>
      </c>
      <c r="E124" s="11">
        <f t="shared" si="22"/>
        <v>15346.8</v>
      </c>
      <c r="F124" s="11">
        <f t="shared" si="23"/>
        <v>50729.7</v>
      </c>
      <c r="G124" s="11">
        <f t="shared" si="24"/>
        <v>50303.399999999994</v>
      </c>
      <c r="H124" s="11">
        <f t="shared" si="25"/>
        <v>11083.8</v>
      </c>
      <c r="I124" s="11">
        <f t="shared" si="26"/>
        <v>2557.8</v>
      </c>
      <c r="J124" s="11">
        <f t="shared" si="27"/>
        <v>7673.4</v>
      </c>
      <c r="K124" s="11">
        <f>75*6*2</f>
        <v>900</v>
      </c>
      <c r="L124" s="8">
        <f>144.73*89</f>
        <v>12880.97</v>
      </c>
      <c r="M124" s="8"/>
      <c r="N124" s="8"/>
      <c r="O124" s="16">
        <f t="shared" si="17"/>
        <v>9769.375000000002</v>
      </c>
      <c r="P124" s="24">
        <f t="shared" si="28"/>
        <v>161245.245</v>
      </c>
      <c r="Q124" s="24">
        <f t="shared" si="34"/>
        <v>55880.825000000004</v>
      </c>
      <c r="R124" s="26">
        <f t="shared" si="18"/>
        <v>131087.25</v>
      </c>
      <c r="S124" s="11"/>
      <c r="T124" s="11"/>
      <c r="U124" s="11"/>
      <c r="V124" s="11"/>
      <c r="W124" s="11"/>
      <c r="X124" s="11"/>
      <c r="Y124" s="24">
        <f t="shared" si="29"/>
        <v>0</v>
      </c>
      <c r="Z124" s="24">
        <f t="shared" si="19"/>
        <v>54992.700000000004</v>
      </c>
      <c r="AA124" s="24"/>
      <c r="AB124" s="24">
        <f t="shared" si="32"/>
        <v>20888.699999999997</v>
      </c>
      <c r="AC124" s="26">
        <f t="shared" si="20"/>
        <v>9949.4</v>
      </c>
      <c r="AD124" s="8"/>
      <c r="AE124" s="8"/>
      <c r="AF124" s="26"/>
      <c r="AG124" s="24">
        <f t="shared" si="21"/>
        <v>50303.399999999994</v>
      </c>
      <c r="AH124" s="24">
        <v>57500</v>
      </c>
      <c r="AI124" s="24">
        <f t="shared" si="30"/>
        <v>541847.52</v>
      </c>
    </row>
    <row r="125" spans="1:35" ht="15.75">
      <c r="A125" s="3" t="s">
        <v>85</v>
      </c>
      <c r="B125" s="4" t="s">
        <v>3</v>
      </c>
      <c r="C125" s="3" t="s">
        <v>2</v>
      </c>
      <c r="D125" s="19">
        <v>2863.5</v>
      </c>
      <c r="E125" s="11">
        <f t="shared" si="22"/>
        <v>12370.32</v>
      </c>
      <c r="F125" s="11">
        <f t="shared" si="23"/>
        <v>40890.78</v>
      </c>
      <c r="G125" s="11">
        <f t="shared" si="24"/>
        <v>40547.159999999996</v>
      </c>
      <c r="H125" s="11">
        <f t="shared" si="25"/>
        <v>8934.119999999999</v>
      </c>
      <c r="I125" s="11">
        <f t="shared" si="26"/>
        <v>2061.7200000000003</v>
      </c>
      <c r="J125" s="11">
        <f t="shared" si="27"/>
        <v>6185.16</v>
      </c>
      <c r="K125" s="11">
        <f>32*8*4+32*6*2</f>
        <v>1408</v>
      </c>
      <c r="L125" s="8">
        <f>144.73*3</f>
        <v>434.18999999999994</v>
      </c>
      <c r="M125" s="8"/>
      <c r="N125" s="8"/>
      <c r="O125" s="16">
        <f t="shared" si="17"/>
        <v>7874.625000000001</v>
      </c>
      <c r="P125" s="24">
        <f t="shared" si="28"/>
        <v>120706.075</v>
      </c>
      <c r="Q125" s="24">
        <f t="shared" si="34"/>
        <v>45042.854999999996</v>
      </c>
      <c r="R125" s="26">
        <f t="shared" si="18"/>
        <v>105663.15</v>
      </c>
      <c r="S125" s="11"/>
      <c r="T125" s="11"/>
      <c r="U125" s="11"/>
      <c r="V125" s="11"/>
      <c r="W125" s="11">
        <f>2.2*220</f>
        <v>484.00000000000006</v>
      </c>
      <c r="X125" s="11"/>
      <c r="Y125" s="24">
        <f t="shared" si="29"/>
        <v>484.00000000000006</v>
      </c>
      <c r="Z125" s="24">
        <f t="shared" si="19"/>
        <v>44326.979999999996</v>
      </c>
      <c r="AA125" s="24"/>
      <c r="AB125" s="24">
        <f t="shared" si="32"/>
        <v>16837.38</v>
      </c>
      <c r="AC125" s="26">
        <f t="shared" si="20"/>
        <v>8020.200000000001</v>
      </c>
      <c r="AD125" s="8"/>
      <c r="AE125" s="8"/>
      <c r="AF125" s="26"/>
      <c r="AG125" s="24">
        <f t="shared" si="21"/>
        <v>40547.159999999996</v>
      </c>
      <c r="AH125" s="24"/>
      <c r="AI125" s="24">
        <f t="shared" si="30"/>
        <v>381627.79999999993</v>
      </c>
    </row>
    <row r="126" spans="1:35" ht="15.75">
      <c r="A126" s="5" t="s">
        <v>85</v>
      </c>
      <c r="B126" s="5" t="s">
        <v>64</v>
      </c>
      <c r="C126" s="6"/>
      <c r="D126" s="22">
        <v>4333.2</v>
      </c>
      <c r="E126" s="11">
        <f t="shared" si="22"/>
        <v>18719.424</v>
      </c>
      <c r="F126" s="11">
        <f t="shared" si="23"/>
        <v>61878.096</v>
      </c>
      <c r="G126" s="11">
        <f t="shared" si="24"/>
        <v>61358.111999999994</v>
      </c>
      <c r="H126" s="11">
        <f t="shared" si="25"/>
        <v>13519.584</v>
      </c>
      <c r="I126" s="11">
        <f t="shared" si="26"/>
        <v>3119.9039999999995</v>
      </c>
      <c r="J126" s="11">
        <f t="shared" si="27"/>
        <v>9359.712</v>
      </c>
      <c r="K126" s="11">
        <f>42*6*2</f>
        <v>504</v>
      </c>
      <c r="L126" s="8">
        <f>144.73*32</f>
        <v>4631.36</v>
      </c>
      <c r="M126" s="8"/>
      <c r="N126" s="8"/>
      <c r="O126" s="16">
        <f t="shared" si="17"/>
        <v>11916.300000000001</v>
      </c>
      <c r="P126" s="24">
        <f t="shared" si="28"/>
        <v>185006.49199999997</v>
      </c>
      <c r="Q126" s="24">
        <f t="shared" si="34"/>
        <v>68161.236</v>
      </c>
      <c r="R126" s="26">
        <f t="shared" si="18"/>
        <v>159895.08</v>
      </c>
      <c r="S126" s="11"/>
      <c r="T126" s="11"/>
      <c r="U126" s="11"/>
      <c r="V126" s="11"/>
      <c r="W126" s="11"/>
      <c r="X126" s="11"/>
      <c r="Y126" s="24">
        <f t="shared" si="29"/>
        <v>0</v>
      </c>
      <c r="Z126" s="24">
        <f t="shared" si="19"/>
        <v>67077.93599999999</v>
      </c>
      <c r="AA126" s="24"/>
      <c r="AB126" s="24">
        <f t="shared" si="32"/>
        <v>25479.216</v>
      </c>
      <c r="AC126" s="26">
        <f t="shared" si="20"/>
        <v>12135.359999999999</v>
      </c>
      <c r="AD126" s="8"/>
      <c r="AE126" s="8"/>
      <c r="AF126" s="26"/>
      <c r="AG126" s="24">
        <f t="shared" si="21"/>
        <v>61358.111999999994</v>
      </c>
      <c r="AH126" s="24"/>
      <c r="AI126" s="24">
        <f t="shared" si="30"/>
        <v>579113.4319999999</v>
      </c>
    </row>
    <row r="127" spans="1:35" ht="15.75">
      <c r="A127" s="3" t="s">
        <v>85</v>
      </c>
      <c r="B127" s="4" t="s">
        <v>72</v>
      </c>
      <c r="C127" s="3" t="s">
        <v>2</v>
      </c>
      <c r="D127" s="18">
        <v>2718.6</v>
      </c>
      <c r="E127" s="11">
        <f t="shared" si="22"/>
        <v>11744.351999999999</v>
      </c>
      <c r="F127" s="11">
        <f t="shared" si="23"/>
        <v>38821.60799999999</v>
      </c>
      <c r="G127" s="11">
        <f t="shared" si="24"/>
        <v>38495.376</v>
      </c>
      <c r="H127" s="11">
        <f t="shared" si="25"/>
        <v>8482.032</v>
      </c>
      <c r="I127" s="11">
        <f t="shared" si="26"/>
        <v>1957.3919999999998</v>
      </c>
      <c r="J127" s="11">
        <f t="shared" si="27"/>
        <v>5872.1759999999995</v>
      </c>
      <c r="K127" s="11">
        <f>37*8*4+37*6*2</f>
        <v>1628</v>
      </c>
      <c r="L127" s="8">
        <f>144.73*3</f>
        <v>434.18999999999994</v>
      </c>
      <c r="M127" s="8"/>
      <c r="N127" s="8"/>
      <c r="O127" s="16">
        <f t="shared" si="17"/>
        <v>7476.15</v>
      </c>
      <c r="P127" s="24">
        <f t="shared" si="28"/>
        <v>114911.27599999998</v>
      </c>
      <c r="Q127" s="24">
        <f t="shared" si="34"/>
        <v>42763.578</v>
      </c>
      <c r="R127" s="26">
        <f t="shared" si="18"/>
        <v>100316.34</v>
      </c>
      <c r="S127" s="11"/>
      <c r="T127" s="11"/>
      <c r="U127" s="11"/>
      <c r="V127" s="11"/>
      <c r="W127" s="11"/>
      <c r="X127" s="11"/>
      <c r="Y127" s="24">
        <f t="shared" si="29"/>
        <v>0</v>
      </c>
      <c r="Z127" s="24">
        <f t="shared" si="19"/>
        <v>42083.928</v>
      </c>
      <c r="AA127" s="24"/>
      <c r="AB127" s="24">
        <f t="shared" si="32"/>
        <v>15985.368</v>
      </c>
      <c r="AC127" s="26">
        <f t="shared" si="20"/>
        <v>7614.48</v>
      </c>
      <c r="AD127" s="8"/>
      <c r="AE127" s="8"/>
      <c r="AF127" s="26"/>
      <c r="AG127" s="24">
        <f t="shared" si="21"/>
        <v>38495.376</v>
      </c>
      <c r="AH127" s="24"/>
      <c r="AI127" s="24">
        <f t="shared" si="30"/>
        <v>362170.34599999996</v>
      </c>
    </row>
    <row r="128" spans="1:35" ht="15.75">
      <c r="A128" s="3" t="s">
        <v>85</v>
      </c>
      <c r="B128" s="4" t="s">
        <v>91</v>
      </c>
      <c r="C128" s="3" t="s">
        <v>2</v>
      </c>
      <c r="D128" s="18">
        <v>2156.3</v>
      </c>
      <c r="E128" s="11">
        <f t="shared" si="22"/>
        <v>9315.216</v>
      </c>
      <c r="F128" s="11">
        <f t="shared" si="23"/>
        <v>30791.964000000004</v>
      </c>
      <c r="G128" s="11">
        <f t="shared" si="24"/>
        <v>30533.208000000002</v>
      </c>
      <c r="H128" s="11">
        <f t="shared" si="25"/>
        <v>6727.656000000001</v>
      </c>
      <c r="I128" s="11">
        <f t="shared" si="26"/>
        <v>1552.536</v>
      </c>
      <c r="J128" s="11">
        <f t="shared" si="27"/>
        <v>4657.608</v>
      </c>
      <c r="K128" s="11">
        <f>36*8*4+36*6*2</f>
        <v>1584</v>
      </c>
      <c r="L128" s="8">
        <f>144.73*2</f>
        <v>289.46</v>
      </c>
      <c r="M128" s="8"/>
      <c r="N128" s="8"/>
      <c r="O128" s="16">
        <f t="shared" si="17"/>
        <v>5929.825000000001</v>
      </c>
      <c r="P128" s="24">
        <f t="shared" si="28"/>
        <v>91381.47300000003</v>
      </c>
      <c r="Q128" s="24">
        <f t="shared" si="34"/>
        <v>33918.599</v>
      </c>
      <c r="R128" s="26">
        <f t="shared" si="18"/>
        <v>79567.47</v>
      </c>
      <c r="S128" s="11"/>
      <c r="T128" s="11"/>
      <c r="U128" s="11"/>
      <c r="V128" s="11"/>
      <c r="W128" s="11"/>
      <c r="X128" s="11"/>
      <c r="Y128" s="24">
        <f t="shared" si="29"/>
        <v>0</v>
      </c>
      <c r="Z128" s="24">
        <f t="shared" si="19"/>
        <v>33379.524000000005</v>
      </c>
      <c r="AA128" s="24"/>
      <c r="AB128" s="24">
        <f t="shared" si="32"/>
        <v>12679.044</v>
      </c>
      <c r="AC128" s="26">
        <f t="shared" si="20"/>
        <v>6040.04</v>
      </c>
      <c r="AD128" s="8"/>
      <c r="AE128" s="8"/>
      <c r="AF128" s="26"/>
      <c r="AG128" s="24">
        <f t="shared" si="21"/>
        <v>30533.208000000002</v>
      </c>
      <c r="AH128" s="24"/>
      <c r="AI128" s="24">
        <f t="shared" si="30"/>
        <v>287499.358</v>
      </c>
    </row>
    <row r="129" spans="1:35" ht="15.75">
      <c r="A129" s="3" t="s">
        <v>85</v>
      </c>
      <c r="B129" s="4" t="s">
        <v>92</v>
      </c>
      <c r="C129" s="3" t="s">
        <v>2</v>
      </c>
      <c r="D129" s="18">
        <v>3204</v>
      </c>
      <c r="E129" s="11">
        <f t="shared" si="22"/>
        <v>13841.28</v>
      </c>
      <c r="F129" s="11">
        <f t="shared" si="23"/>
        <v>45753.119999999995</v>
      </c>
      <c r="G129" s="11">
        <f t="shared" si="24"/>
        <v>45368.64</v>
      </c>
      <c r="H129" s="11">
        <f t="shared" si="25"/>
        <v>9996.480000000001</v>
      </c>
      <c r="I129" s="11">
        <f t="shared" si="26"/>
        <v>2306.8799999999997</v>
      </c>
      <c r="J129" s="11">
        <f t="shared" si="27"/>
        <v>6920.64</v>
      </c>
      <c r="K129" s="11">
        <f>45*8*4+45*6*2</f>
        <v>1980</v>
      </c>
      <c r="L129" s="8">
        <f aca="true" t="shared" si="35" ref="L129:L134">144.73*3</f>
        <v>434.18999999999994</v>
      </c>
      <c r="M129" s="8"/>
      <c r="N129" s="8"/>
      <c r="O129" s="16">
        <f t="shared" si="17"/>
        <v>8811</v>
      </c>
      <c r="P129" s="24">
        <f t="shared" si="28"/>
        <v>135412.22999999998</v>
      </c>
      <c r="Q129" s="24">
        <f t="shared" si="34"/>
        <v>50398.920000000006</v>
      </c>
      <c r="R129" s="26">
        <f t="shared" si="18"/>
        <v>118227.6</v>
      </c>
      <c r="S129" s="11">
        <f>279.9*700</f>
        <v>195929.99999999997</v>
      </c>
      <c r="T129" s="11"/>
      <c r="U129" s="11">
        <v>94118</v>
      </c>
      <c r="V129" s="11"/>
      <c r="W129" s="11">
        <f>7*220</f>
        <v>1540</v>
      </c>
      <c r="X129" s="11"/>
      <c r="Y129" s="24">
        <f t="shared" si="29"/>
        <v>291588</v>
      </c>
      <c r="Z129" s="24">
        <f t="shared" si="19"/>
        <v>49597.92</v>
      </c>
      <c r="AA129" s="24"/>
      <c r="AB129" s="24">
        <f t="shared" si="32"/>
        <v>18839.52</v>
      </c>
      <c r="AC129" s="26">
        <f t="shared" si="20"/>
        <v>8973.6</v>
      </c>
      <c r="AD129" s="8"/>
      <c r="AE129" s="8"/>
      <c r="AF129" s="26"/>
      <c r="AG129" s="24">
        <f t="shared" si="21"/>
        <v>45368.64</v>
      </c>
      <c r="AH129" s="24"/>
      <c r="AI129" s="24">
        <f t="shared" si="30"/>
        <v>718406.43</v>
      </c>
    </row>
    <row r="130" spans="1:35" ht="15.75">
      <c r="A130" s="3" t="s">
        <v>93</v>
      </c>
      <c r="B130" s="4" t="s">
        <v>70</v>
      </c>
      <c r="C130" s="3" t="s">
        <v>2</v>
      </c>
      <c r="D130" s="21">
        <v>909.3</v>
      </c>
      <c r="E130" s="11">
        <f t="shared" si="22"/>
        <v>3928.1759999999995</v>
      </c>
      <c r="F130" s="11">
        <f t="shared" si="23"/>
        <v>12984.804</v>
      </c>
      <c r="G130" s="11">
        <f t="shared" si="24"/>
        <v>12875.687999999998</v>
      </c>
      <c r="H130" s="11">
        <f t="shared" si="25"/>
        <v>2837.016</v>
      </c>
      <c r="I130" s="11">
        <f t="shared" si="26"/>
        <v>654.6959999999999</v>
      </c>
      <c r="J130" s="11">
        <f t="shared" si="27"/>
        <v>1964.0879999999997</v>
      </c>
      <c r="K130" s="11">
        <f>13*6*2</f>
        <v>156</v>
      </c>
      <c r="L130" s="8">
        <f t="shared" si="35"/>
        <v>434.18999999999994</v>
      </c>
      <c r="M130" s="8"/>
      <c r="N130" s="8"/>
      <c r="O130" s="16">
        <f t="shared" si="17"/>
        <v>2500.575</v>
      </c>
      <c r="P130" s="24">
        <f t="shared" si="28"/>
        <v>38335.23299999999</v>
      </c>
      <c r="Q130" s="24"/>
      <c r="R130" s="26">
        <f t="shared" si="18"/>
        <v>33553.17</v>
      </c>
      <c r="S130" s="11"/>
      <c r="T130" s="11"/>
      <c r="U130" s="11"/>
      <c r="V130" s="11"/>
      <c r="W130" s="11"/>
      <c r="X130" s="11"/>
      <c r="Y130" s="24">
        <f t="shared" si="29"/>
        <v>0</v>
      </c>
      <c r="Z130" s="24">
        <f t="shared" si="19"/>
        <v>14075.964</v>
      </c>
      <c r="AA130" s="24"/>
      <c r="AB130" s="24">
        <f t="shared" si="32"/>
        <v>5346.683999999999</v>
      </c>
      <c r="AC130" s="26">
        <f t="shared" si="20"/>
        <v>2548.44</v>
      </c>
      <c r="AD130" s="8"/>
      <c r="AE130" s="8"/>
      <c r="AF130" s="26"/>
      <c r="AG130" s="24">
        <f t="shared" si="21"/>
        <v>12875.687999999998</v>
      </c>
      <c r="AH130" s="24">
        <v>57500</v>
      </c>
      <c r="AI130" s="24">
        <f t="shared" si="30"/>
        <v>164235.179</v>
      </c>
    </row>
    <row r="131" spans="1:35" ht="15.75">
      <c r="A131" s="3" t="s">
        <v>93</v>
      </c>
      <c r="B131" s="4" t="s">
        <v>44</v>
      </c>
      <c r="C131" s="3" t="s">
        <v>2</v>
      </c>
      <c r="D131" s="18">
        <v>2792.7</v>
      </c>
      <c r="E131" s="11">
        <f t="shared" si="22"/>
        <v>12064.463999999998</v>
      </c>
      <c r="F131" s="11">
        <f t="shared" si="23"/>
        <v>39879.755999999994</v>
      </c>
      <c r="G131" s="11">
        <f t="shared" si="24"/>
        <v>39544.632</v>
      </c>
      <c r="H131" s="11">
        <f t="shared" si="25"/>
        <v>8713.224</v>
      </c>
      <c r="I131" s="11">
        <f t="shared" si="26"/>
        <v>2010.7439999999997</v>
      </c>
      <c r="J131" s="11">
        <f t="shared" si="27"/>
        <v>6032.231999999999</v>
      </c>
      <c r="K131" s="11">
        <f>56*8*4+56*6*2</f>
        <v>2464</v>
      </c>
      <c r="L131" s="8">
        <f t="shared" si="35"/>
        <v>434.18999999999994</v>
      </c>
      <c r="M131" s="8"/>
      <c r="N131" s="8"/>
      <c r="O131" s="16">
        <f aca="true" t="shared" si="36" ref="O131:O194">D131*0.55*5</f>
        <v>7679.925000000001</v>
      </c>
      <c r="P131" s="24">
        <f t="shared" si="28"/>
        <v>118823.167</v>
      </c>
      <c r="Q131" s="24">
        <f>D131*1.27*5+D131*1.34*7</f>
        <v>43929.171</v>
      </c>
      <c r="R131" s="26">
        <f aca="true" t="shared" si="37" ref="R131:R194">D131*3.18*5+D131*3*7</f>
        <v>103050.62999999999</v>
      </c>
      <c r="S131" s="11"/>
      <c r="T131" s="11"/>
      <c r="U131" s="11"/>
      <c r="V131" s="11"/>
      <c r="W131" s="11"/>
      <c r="X131" s="11"/>
      <c r="Y131" s="24">
        <f t="shared" si="29"/>
        <v>0</v>
      </c>
      <c r="Z131" s="24">
        <f aca="true" t="shared" si="38" ref="Z131:Z194">D131*1.29*12</f>
        <v>43230.996</v>
      </c>
      <c r="AA131" s="24"/>
      <c r="AB131" s="24">
        <f t="shared" si="32"/>
        <v>16421.075999999997</v>
      </c>
      <c r="AC131" s="26">
        <f aca="true" t="shared" si="39" ref="AC131:AC194">D131*0.4*7+0.48*5</f>
        <v>7821.959999999999</v>
      </c>
      <c r="AD131" s="8"/>
      <c r="AE131" s="8"/>
      <c r="AF131" s="26"/>
      <c r="AG131" s="24">
        <f aca="true" t="shared" si="40" ref="AG131:AG194">D131*1.18*12</f>
        <v>39544.632</v>
      </c>
      <c r="AH131" s="24">
        <v>57500</v>
      </c>
      <c r="AI131" s="24">
        <f t="shared" si="30"/>
        <v>430321.632</v>
      </c>
    </row>
    <row r="132" spans="1:35" ht="15.75">
      <c r="A132" s="3" t="s">
        <v>93</v>
      </c>
      <c r="B132" s="4" t="s">
        <v>94</v>
      </c>
      <c r="C132" s="3" t="s">
        <v>2</v>
      </c>
      <c r="D132" s="18">
        <v>3245.1</v>
      </c>
      <c r="E132" s="11">
        <f aca="true" t="shared" si="41" ref="E132:E195">D132*0.36*12</f>
        <v>14018.831999999999</v>
      </c>
      <c r="F132" s="11">
        <f aca="true" t="shared" si="42" ref="F132:F195">D132*1.19*12</f>
        <v>46340.028</v>
      </c>
      <c r="G132" s="11">
        <f aca="true" t="shared" si="43" ref="G132:G195">D132*1.18*12</f>
        <v>45950.615999999995</v>
      </c>
      <c r="H132" s="11">
        <f aca="true" t="shared" si="44" ref="H132:H195">D132*0.26*12</f>
        <v>10124.712</v>
      </c>
      <c r="I132" s="11">
        <f aca="true" t="shared" si="45" ref="I132:I195">D132*0.06*12</f>
        <v>2336.4719999999998</v>
      </c>
      <c r="J132" s="11">
        <f aca="true" t="shared" si="46" ref="J132:J195">D132*0.18*12</f>
        <v>7009.415999999999</v>
      </c>
      <c r="K132" s="11">
        <f>80*8*4+80*6*2</f>
        <v>3520</v>
      </c>
      <c r="L132" s="8">
        <f t="shared" si="35"/>
        <v>434.18999999999994</v>
      </c>
      <c r="M132" s="8"/>
      <c r="N132" s="8"/>
      <c r="O132" s="16">
        <f t="shared" si="36"/>
        <v>8924.025</v>
      </c>
      <c r="P132" s="24">
        <f aca="true" t="shared" si="47" ref="P132:P195">SUM(E132:O132)</f>
        <v>138658.291</v>
      </c>
      <c r="Q132" s="24">
        <f>D132*1.27*5+D132*1.34*7</f>
        <v>51045.423</v>
      </c>
      <c r="R132" s="26">
        <f t="shared" si="37"/>
        <v>119744.18999999999</v>
      </c>
      <c r="S132" s="11"/>
      <c r="T132" s="11"/>
      <c r="U132" s="11"/>
      <c r="V132" s="11"/>
      <c r="W132" s="11"/>
      <c r="X132" s="11"/>
      <c r="Y132" s="24">
        <f aca="true" t="shared" si="48" ref="Y132:Y195">SUM(S132:X132)</f>
        <v>0</v>
      </c>
      <c r="Z132" s="24">
        <f t="shared" si="38"/>
        <v>50234.148</v>
      </c>
      <c r="AA132" s="24"/>
      <c r="AB132" s="24">
        <f t="shared" si="32"/>
        <v>19081.188</v>
      </c>
      <c r="AC132" s="26">
        <f t="shared" si="39"/>
        <v>9088.679999999998</v>
      </c>
      <c r="AD132" s="8"/>
      <c r="AE132" s="8"/>
      <c r="AF132" s="26"/>
      <c r="AG132" s="24">
        <f t="shared" si="40"/>
        <v>45950.615999999995</v>
      </c>
      <c r="AH132" s="24">
        <v>57500</v>
      </c>
      <c r="AI132" s="24">
        <f aca="true" t="shared" si="49" ref="AI132:AI195">P132+Q132+R132+Y132+Z132+AA132+AB132+AC132+AF132+AG132+AH132</f>
        <v>491302.53599999996</v>
      </c>
    </row>
    <row r="133" spans="1:35" ht="15.75">
      <c r="A133" s="3" t="s">
        <v>93</v>
      </c>
      <c r="B133" s="4" t="s">
        <v>95</v>
      </c>
      <c r="C133" s="3" t="s">
        <v>2</v>
      </c>
      <c r="D133" s="18">
        <v>1555.8</v>
      </c>
      <c r="E133" s="11">
        <f t="shared" si="41"/>
        <v>6721.056</v>
      </c>
      <c r="F133" s="11">
        <f t="shared" si="42"/>
        <v>22216.823999999997</v>
      </c>
      <c r="G133" s="11">
        <f t="shared" si="43"/>
        <v>22030.127999999997</v>
      </c>
      <c r="H133" s="11">
        <f t="shared" si="44"/>
        <v>4854.096</v>
      </c>
      <c r="I133" s="11">
        <f t="shared" si="45"/>
        <v>1120.176</v>
      </c>
      <c r="J133" s="11">
        <f t="shared" si="46"/>
        <v>3360.528</v>
      </c>
      <c r="K133" s="11">
        <f>39*8*4+39*6*2</f>
        <v>1716</v>
      </c>
      <c r="L133" s="8">
        <f t="shared" si="35"/>
        <v>434.18999999999994</v>
      </c>
      <c r="M133" s="8"/>
      <c r="N133" s="8"/>
      <c r="O133" s="16">
        <f t="shared" si="36"/>
        <v>4278.450000000001</v>
      </c>
      <c r="P133" s="24">
        <f t="shared" si="47"/>
        <v>66731.44799999999</v>
      </c>
      <c r="Q133" s="24">
        <f>D133*1.27*5+D133*1.34*7</f>
        <v>24472.733999999997</v>
      </c>
      <c r="R133" s="26">
        <f t="shared" si="37"/>
        <v>57409.02</v>
      </c>
      <c r="S133" s="11"/>
      <c r="T133" s="11"/>
      <c r="U133" s="11"/>
      <c r="V133" s="11"/>
      <c r="W133" s="11"/>
      <c r="X133" s="11"/>
      <c r="Y133" s="24">
        <f t="shared" si="48"/>
        <v>0</v>
      </c>
      <c r="Z133" s="24">
        <f t="shared" si="38"/>
        <v>24083.784</v>
      </c>
      <c r="AA133" s="24"/>
      <c r="AB133" s="24">
        <f t="shared" si="32"/>
        <v>9148.104</v>
      </c>
      <c r="AC133" s="26">
        <f t="shared" si="39"/>
        <v>4358.64</v>
      </c>
      <c r="AD133" s="8"/>
      <c r="AE133" s="8"/>
      <c r="AF133" s="26"/>
      <c r="AG133" s="24">
        <f t="shared" si="40"/>
        <v>22030.127999999997</v>
      </c>
      <c r="AH133" s="24">
        <v>57500</v>
      </c>
      <c r="AI133" s="24">
        <f t="shared" si="49"/>
        <v>265733.858</v>
      </c>
    </row>
    <row r="134" spans="1:35" ht="15.75">
      <c r="A134" s="3" t="s">
        <v>93</v>
      </c>
      <c r="B134" s="4" t="s">
        <v>72</v>
      </c>
      <c r="C134" s="3" t="s">
        <v>2</v>
      </c>
      <c r="D134" s="18">
        <v>1304.4</v>
      </c>
      <c r="E134" s="11">
        <f t="shared" si="41"/>
        <v>5635.008</v>
      </c>
      <c r="F134" s="11">
        <f t="shared" si="42"/>
        <v>18626.832000000002</v>
      </c>
      <c r="G134" s="11">
        <f t="shared" si="43"/>
        <v>18470.304</v>
      </c>
      <c r="H134" s="11">
        <f t="shared" si="44"/>
        <v>4069.728000000001</v>
      </c>
      <c r="I134" s="11">
        <f t="shared" si="45"/>
        <v>939.1679999999999</v>
      </c>
      <c r="J134" s="11">
        <f t="shared" si="46"/>
        <v>2817.504</v>
      </c>
      <c r="K134" s="11">
        <f>27*8*4+27*6*2</f>
        <v>1188</v>
      </c>
      <c r="L134" s="8">
        <f t="shared" si="35"/>
        <v>434.18999999999994</v>
      </c>
      <c r="M134" s="8"/>
      <c r="N134" s="8">
        <f>875*20.77</f>
        <v>18173.75</v>
      </c>
      <c r="O134" s="16">
        <f t="shared" si="36"/>
        <v>3587.1000000000004</v>
      </c>
      <c r="P134" s="24">
        <f t="shared" si="47"/>
        <v>73941.584</v>
      </c>
      <c r="Q134" s="24"/>
      <c r="R134" s="26">
        <f t="shared" si="37"/>
        <v>48132.36</v>
      </c>
      <c r="S134" s="11"/>
      <c r="T134" s="11"/>
      <c r="U134" s="11"/>
      <c r="V134" s="11"/>
      <c r="W134" s="11">
        <f>4.4*220</f>
        <v>968.0000000000001</v>
      </c>
      <c r="X134" s="11"/>
      <c r="Y134" s="24">
        <f t="shared" si="48"/>
        <v>968.0000000000001</v>
      </c>
      <c r="Z134" s="24">
        <f t="shared" si="38"/>
        <v>20192.112</v>
      </c>
      <c r="AA134" s="24"/>
      <c r="AB134" s="24">
        <f t="shared" si="32"/>
        <v>7669.872000000001</v>
      </c>
      <c r="AC134" s="26">
        <f t="shared" si="39"/>
        <v>3654.7200000000007</v>
      </c>
      <c r="AD134" s="8"/>
      <c r="AE134" s="8"/>
      <c r="AF134" s="26"/>
      <c r="AG134" s="24">
        <f t="shared" si="40"/>
        <v>18470.304</v>
      </c>
      <c r="AH134" s="24">
        <v>57500</v>
      </c>
      <c r="AI134" s="24">
        <f t="shared" si="49"/>
        <v>230528.95200000002</v>
      </c>
    </row>
    <row r="135" spans="1:35" ht="15.75">
      <c r="A135" s="5" t="s">
        <v>96</v>
      </c>
      <c r="B135" s="5" t="s">
        <v>79</v>
      </c>
      <c r="C135" s="6"/>
      <c r="D135" s="21">
        <v>152.68</v>
      </c>
      <c r="E135" s="11">
        <f t="shared" si="41"/>
        <v>659.5776000000001</v>
      </c>
      <c r="F135" s="11">
        <f t="shared" si="42"/>
        <v>2180.2704</v>
      </c>
      <c r="G135" s="11">
        <f t="shared" si="43"/>
        <v>2161.9488</v>
      </c>
      <c r="H135" s="11">
        <f t="shared" si="44"/>
        <v>476.36160000000007</v>
      </c>
      <c r="I135" s="11">
        <f t="shared" si="45"/>
        <v>109.9296</v>
      </c>
      <c r="J135" s="11">
        <f t="shared" si="46"/>
        <v>329.78880000000004</v>
      </c>
      <c r="K135" s="11">
        <f>2*230</f>
        <v>460</v>
      </c>
      <c r="L135" s="8"/>
      <c r="M135" s="8"/>
      <c r="N135" s="8"/>
      <c r="O135" s="16">
        <f t="shared" si="36"/>
        <v>419.87</v>
      </c>
      <c r="P135" s="24">
        <f t="shared" si="47"/>
        <v>6797.746800000001</v>
      </c>
      <c r="Q135" s="24"/>
      <c r="R135" s="26">
        <f t="shared" si="37"/>
        <v>5633.892</v>
      </c>
      <c r="S135" s="11"/>
      <c r="T135" s="11"/>
      <c r="U135" s="11"/>
      <c r="V135" s="11"/>
      <c r="W135" s="11"/>
      <c r="X135" s="11"/>
      <c r="Y135" s="24">
        <f t="shared" si="48"/>
        <v>0</v>
      </c>
      <c r="Z135" s="24">
        <f t="shared" si="38"/>
        <v>2363.4864</v>
      </c>
      <c r="AA135" s="24"/>
      <c r="AB135" s="24">
        <f t="shared" si="32"/>
        <v>897.7584000000002</v>
      </c>
      <c r="AC135" s="26">
        <f t="shared" si="39"/>
        <v>429.904</v>
      </c>
      <c r="AD135" s="8"/>
      <c r="AE135" s="8"/>
      <c r="AF135" s="26"/>
      <c r="AG135" s="24">
        <f t="shared" si="40"/>
        <v>2161.9488</v>
      </c>
      <c r="AH135" s="24"/>
      <c r="AI135" s="24">
        <f t="shared" si="49"/>
        <v>18284.7364</v>
      </c>
    </row>
    <row r="136" spans="1:35" ht="15.75">
      <c r="A136" s="5" t="s">
        <v>97</v>
      </c>
      <c r="B136" s="5" t="s">
        <v>39</v>
      </c>
      <c r="C136" s="6"/>
      <c r="D136" s="21">
        <v>255.2</v>
      </c>
      <c r="E136" s="11">
        <f t="shared" si="41"/>
        <v>1102.464</v>
      </c>
      <c r="F136" s="11">
        <f t="shared" si="42"/>
        <v>3644.256</v>
      </c>
      <c r="G136" s="11">
        <f t="shared" si="43"/>
        <v>3613.6319999999996</v>
      </c>
      <c r="H136" s="11">
        <f t="shared" si="44"/>
        <v>796.224</v>
      </c>
      <c r="I136" s="11">
        <f t="shared" si="45"/>
        <v>183.744</v>
      </c>
      <c r="J136" s="11">
        <f t="shared" si="46"/>
        <v>551.232</v>
      </c>
      <c r="K136" s="11">
        <f>4*230</f>
        <v>920</v>
      </c>
      <c r="L136" s="8"/>
      <c r="M136" s="8"/>
      <c r="N136" s="8"/>
      <c r="O136" s="16">
        <f t="shared" si="36"/>
        <v>701.8000000000001</v>
      </c>
      <c r="P136" s="24">
        <f t="shared" si="47"/>
        <v>11513.351999999999</v>
      </c>
      <c r="Q136" s="24"/>
      <c r="R136" s="26">
        <f t="shared" si="37"/>
        <v>9416.88</v>
      </c>
      <c r="S136" s="11"/>
      <c r="T136" s="11"/>
      <c r="U136" s="11"/>
      <c r="V136" s="11"/>
      <c r="W136" s="11"/>
      <c r="X136" s="11"/>
      <c r="Y136" s="24">
        <f t="shared" si="48"/>
        <v>0</v>
      </c>
      <c r="Z136" s="24">
        <f t="shared" si="38"/>
        <v>3950.4959999999996</v>
      </c>
      <c r="AA136" s="24"/>
      <c r="AB136" s="24">
        <f t="shared" si="32"/>
        <v>1500.5759999999998</v>
      </c>
      <c r="AC136" s="26">
        <f t="shared" si="39"/>
        <v>716.9599999999999</v>
      </c>
      <c r="AD136" s="8"/>
      <c r="AE136" s="8"/>
      <c r="AF136" s="26"/>
      <c r="AG136" s="24">
        <f t="shared" si="40"/>
        <v>3613.6319999999996</v>
      </c>
      <c r="AH136" s="24"/>
      <c r="AI136" s="24">
        <f t="shared" si="49"/>
        <v>30711.895999999993</v>
      </c>
    </row>
    <row r="137" spans="1:35" ht="15.75">
      <c r="A137" s="3" t="s">
        <v>98</v>
      </c>
      <c r="B137" s="4" t="s">
        <v>3</v>
      </c>
      <c r="C137" s="3" t="s">
        <v>2</v>
      </c>
      <c r="D137" s="21">
        <v>411.6</v>
      </c>
      <c r="E137" s="11">
        <f t="shared" si="41"/>
        <v>1778.112</v>
      </c>
      <c r="F137" s="11">
        <f t="shared" si="42"/>
        <v>5877.648</v>
      </c>
      <c r="G137" s="11">
        <f t="shared" si="43"/>
        <v>5828.255999999999</v>
      </c>
      <c r="H137" s="11">
        <f t="shared" si="44"/>
        <v>1284.192</v>
      </c>
      <c r="I137" s="11">
        <f t="shared" si="45"/>
        <v>296.35200000000003</v>
      </c>
      <c r="J137" s="11">
        <f t="shared" si="46"/>
        <v>889.056</v>
      </c>
      <c r="K137" s="11">
        <f>2*230</f>
        <v>460</v>
      </c>
      <c r="L137" s="8"/>
      <c r="M137" s="8"/>
      <c r="N137" s="8"/>
      <c r="O137" s="16">
        <f t="shared" si="36"/>
        <v>1131.9</v>
      </c>
      <c r="P137" s="24">
        <f t="shared" si="47"/>
        <v>17545.516000000003</v>
      </c>
      <c r="Q137" s="24"/>
      <c r="R137" s="26">
        <f t="shared" si="37"/>
        <v>15188.040000000003</v>
      </c>
      <c r="S137" s="11"/>
      <c r="T137" s="11"/>
      <c r="U137" s="11"/>
      <c r="V137" s="11"/>
      <c r="W137" s="11"/>
      <c r="X137" s="11"/>
      <c r="Y137" s="24">
        <f t="shared" si="48"/>
        <v>0</v>
      </c>
      <c r="Z137" s="24">
        <f t="shared" si="38"/>
        <v>6371.568000000001</v>
      </c>
      <c r="AA137" s="24"/>
      <c r="AB137" s="24">
        <f t="shared" si="32"/>
        <v>2420.208</v>
      </c>
      <c r="AC137" s="26">
        <f t="shared" si="39"/>
        <v>1154.88</v>
      </c>
      <c r="AD137" s="8"/>
      <c r="AE137" s="8"/>
      <c r="AF137" s="26"/>
      <c r="AG137" s="24">
        <f t="shared" si="40"/>
        <v>5828.255999999999</v>
      </c>
      <c r="AH137" s="24"/>
      <c r="AI137" s="24">
        <f t="shared" si="49"/>
        <v>48508.468</v>
      </c>
    </row>
    <row r="138" spans="1:35" ht="15.75">
      <c r="A138" s="3" t="s">
        <v>99</v>
      </c>
      <c r="B138" s="4" t="s">
        <v>34</v>
      </c>
      <c r="C138" s="3" t="s">
        <v>2</v>
      </c>
      <c r="D138" s="18">
        <v>404.8</v>
      </c>
      <c r="E138" s="11">
        <f t="shared" si="41"/>
        <v>1748.736</v>
      </c>
      <c r="F138" s="11">
        <f t="shared" si="42"/>
        <v>5780.544</v>
      </c>
      <c r="G138" s="11">
        <f t="shared" si="43"/>
        <v>5731.968</v>
      </c>
      <c r="H138" s="11">
        <f t="shared" si="44"/>
        <v>1262.976</v>
      </c>
      <c r="I138" s="11">
        <f t="shared" si="45"/>
        <v>291.456</v>
      </c>
      <c r="J138" s="11">
        <f t="shared" si="46"/>
        <v>874.368</v>
      </c>
      <c r="K138" s="11">
        <f>8*8*4+8*6*2</f>
        <v>352</v>
      </c>
      <c r="L138" s="8">
        <f>144.73*2</f>
        <v>289.46</v>
      </c>
      <c r="M138" s="8"/>
      <c r="N138" s="8"/>
      <c r="O138" s="16">
        <f t="shared" si="36"/>
        <v>1113.2</v>
      </c>
      <c r="P138" s="24">
        <f t="shared" si="47"/>
        <v>17444.708</v>
      </c>
      <c r="Q138" s="24"/>
      <c r="R138" s="26">
        <f t="shared" si="37"/>
        <v>14937.120000000003</v>
      </c>
      <c r="S138" s="11"/>
      <c r="T138" s="11"/>
      <c r="U138" s="11"/>
      <c r="V138" s="11"/>
      <c r="W138" s="11"/>
      <c r="X138" s="11"/>
      <c r="Y138" s="24">
        <f t="shared" si="48"/>
        <v>0</v>
      </c>
      <c r="Z138" s="24">
        <f t="shared" si="38"/>
        <v>6266.304</v>
      </c>
      <c r="AA138" s="24"/>
      <c r="AB138" s="24">
        <f t="shared" si="32"/>
        <v>2380.224</v>
      </c>
      <c r="AC138" s="26">
        <f t="shared" si="39"/>
        <v>1135.8400000000001</v>
      </c>
      <c r="AD138" s="8"/>
      <c r="AE138" s="8"/>
      <c r="AF138" s="26"/>
      <c r="AG138" s="24">
        <f t="shared" si="40"/>
        <v>5731.968</v>
      </c>
      <c r="AH138" s="24">
        <v>57500</v>
      </c>
      <c r="AI138" s="24">
        <f t="shared" si="49"/>
        <v>105396.16399999999</v>
      </c>
    </row>
    <row r="139" spans="1:35" ht="15.75">
      <c r="A139" s="3" t="s">
        <v>99</v>
      </c>
      <c r="B139" s="4" t="s">
        <v>100</v>
      </c>
      <c r="C139" s="3" t="s">
        <v>2</v>
      </c>
      <c r="D139" s="18">
        <v>396.4</v>
      </c>
      <c r="E139" s="11">
        <f t="shared" si="41"/>
        <v>1712.4479999999999</v>
      </c>
      <c r="F139" s="11">
        <f t="shared" si="42"/>
        <v>5660.592</v>
      </c>
      <c r="G139" s="11">
        <f t="shared" si="43"/>
        <v>5613.023999999999</v>
      </c>
      <c r="H139" s="11">
        <f t="shared" si="44"/>
        <v>1236.768</v>
      </c>
      <c r="I139" s="11">
        <f t="shared" si="45"/>
        <v>285.408</v>
      </c>
      <c r="J139" s="11">
        <f t="shared" si="46"/>
        <v>856.2239999999999</v>
      </c>
      <c r="K139" s="11">
        <f>8*8*4+8*6*2</f>
        <v>352</v>
      </c>
      <c r="L139" s="8">
        <f>144.73*3</f>
        <v>434.18999999999994</v>
      </c>
      <c r="M139" s="8"/>
      <c r="N139" s="8"/>
      <c r="O139" s="16">
        <f t="shared" si="36"/>
        <v>1090.1000000000001</v>
      </c>
      <c r="P139" s="24">
        <f t="shared" si="47"/>
        <v>17240.753999999997</v>
      </c>
      <c r="Q139" s="24"/>
      <c r="R139" s="26">
        <f t="shared" si="37"/>
        <v>14627.159999999996</v>
      </c>
      <c r="S139" s="11"/>
      <c r="T139" s="11"/>
      <c r="U139" s="11"/>
      <c r="V139" s="11"/>
      <c r="W139" s="11"/>
      <c r="X139" s="11"/>
      <c r="Y139" s="24">
        <f t="shared" si="48"/>
        <v>0</v>
      </c>
      <c r="Z139" s="24">
        <f t="shared" si="38"/>
        <v>6136.272</v>
      </c>
      <c r="AA139" s="24"/>
      <c r="AB139" s="24">
        <f t="shared" si="32"/>
        <v>2330.832</v>
      </c>
      <c r="AC139" s="26">
        <f t="shared" si="39"/>
        <v>1112.3200000000002</v>
      </c>
      <c r="AD139" s="8"/>
      <c r="AE139" s="8"/>
      <c r="AF139" s="26"/>
      <c r="AG139" s="24">
        <f t="shared" si="40"/>
        <v>5613.023999999999</v>
      </c>
      <c r="AH139" s="24">
        <v>57500</v>
      </c>
      <c r="AI139" s="24">
        <f t="shared" si="49"/>
        <v>104560.362</v>
      </c>
    </row>
    <row r="140" spans="1:35" ht="15.75">
      <c r="A140" s="3" t="s">
        <v>99</v>
      </c>
      <c r="B140" s="4" t="s">
        <v>69</v>
      </c>
      <c r="C140" s="3" t="s">
        <v>2</v>
      </c>
      <c r="D140" s="18">
        <v>386.8</v>
      </c>
      <c r="E140" s="11">
        <f t="shared" si="41"/>
        <v>1670.9759999999999</v>
      </c>
      <c r="F140" s="11">
        <f t="shared" si="42"/>
        <v>5523.504</v>
      </c>
      <c r="G140" s="11">
        <f t="shared" si="43"/>
        <v>5477.088</v>
      </c>
      <c r="H140" s="11">
        <f t="shared" si="44"/>
        <v>1206.8160000000003</v>
      </c>
      <c r="I140" s="11">
        <f t="shared" si="45"/>
        <v>278.496</v>
      </c>
      <c r="J140" s="11">
        <f t="shared" si="46"/>
        <v>835.4879999999999</v>
      </c>
      <c r="K140" s="11">
        <f>8*8*4+8*6*2</f>
        <v>352</v>
      </c>
      <c r="L140" s="8">
        <f>144.73*14</f>
        <v>2026.2199999999998</v>
      </c>
      <c r="M140" s="8"/>
      <c r="N140" s="8"/>
      <c r="O140" s="16">
        <f t="shared" si="36"/>
        <v>1063.7000000000003</v>
      </c>
      <c r="P140" s="24">
        <f t="shared" si="47"/>
        <v>18434.288</v>
      </c>
      <c r="Q140" s="24"/>
      <c r="R140" s="26">
        <f t="shared" si="37"/>
        <v>14272.920000000002</v>
      </c>
      <c r="S140" s="11"/>
      <c r="T140" s="11"/>
      <c r="U140" s="11"/>
      <c r="V140" s="11">
        <f>18*150</f>
        <v>2700</v>
      </c>
      <c r="W140" s="11"/>
      <c r="X140" s="11"/>
      <c r="Y140" s="24">
        <f t="shared" si="48"/>
        <v>2700</v>
      </c>
      <c r="Z140" s="24">
        <f t="shared" si="38"/>
        <v>5987.664000000001</v>
      </c>
      <c r="AA140" s="24"/>
      <c r="AB140" s="24">
        <f t="shared" si="32"/>
        <v>2274.384</v>
      </c>
      <c r="AC140" s="26">
        <f t="shared" si="39"/>
        <v>1085.4400000000003</v>
      </c>
      <c r="AD140" s="8"/>
      <c r="AE140" s="8"/>
      <c r="AF140" s="26"/>
      <c r="AG140" s="24">
        <f t="shared" si="40"/>
        <v>5477.088</v>
      </c>
      <c r="AH140" s="24">
        <v>57500</v>
      </c>
      <c r="AI140" s="24">
        <f t="shared" si="49"/>
        <v>107731.784</v>
      </c>
    </row>
    <row r="141" spans="1:35" ht="15.75">
      <c r="A141" s="3" t="s">
        <v>99</v>
      </c>
      <c r="B141" s="4" t="s">
        <v>63</v>
      </c>
      <c r="C141" s="3" t="s">
        <v>2</v>
      </c>
      <c r="D141" s="18">
        <v>383.5</v>
      </c>
      <c r="E141" s="11">
        <f t="shared" si="41"/>
        <v>1656.72</v>
      </c>
      <c r="F141" s="11">
        <f t="shared" si="42"/>
        <v>5476.379999999999</v>
      </c>
      <c r="G141" s="11">
        <f t="shared" si="43"/>
        <v>5430.36</v>
      </c>
      <c r="H141" s="11">
        <f t="shared" si="44"/>
        <v>1196.52</v>
      </c>
      <c r="I141" s="11">
        <f t="shared" si="45"/>
        <v>276.12</v>
      </c>
      <c r="J141" s="11">
        <f t="shared" si="46"/>
        <v>828.36</v>
      </c>
      <c r="K141" s="11">
        <f>8*8*4+8*6*2</f>
        <v>352</v>
      </c>
      <c r="L141" s="8">
        <f>144.73*14</f>
        <v>2026.2199999999998</v>
      </c>
      <c r="M141" s="8"/>
      <c r="N141" s="8">
        <f>358*20.77</f>
        <v>7435.66</v>
      </c>
      <c r="O141" s="16">
        <f t="shared" si="36"/>
        <v>1054.625</v>
      </c>
      <c r="P141" s="24">
        <f t="shared" si="47"/>
        <v>25732.965</v>
      </c>
      <c r="Q141" s="24"/>
      <c r="R141" s="26">
        <f t="shared" si="37"/>
        <v>14151.15</v>
      </c>
      <c r="S141" s="11"/>
      <c r="T141" s="11"/>
      <c r="U141" s="11"/>
      <c r="V141" s="11">
        <f>12*150</f>
        <v>1800</v>
      </c>
      <c r="W141" s="11"/>
      <c r="X141" s="11"/>
      <c r="Y141" s="24">
        <f t="shared" si="48"/>
        <v>1800</v>
      </c>
      <c r="Z141" s="24">
        <f t="shared" si="38"/>
        <v>5936.58</v>
      </c>
      <c r="AA141" s="24"/>
      <c r="AB141" s="24">
        <f t="shared" si="32"/>
        <v>2254.98</v>
      </c>
      <c r="AC141" s="26">
        <f t="shared" si="39"/>
        <v>1076.2</v>
      </c>
      <c r="AD141" s="8"/>
      <c r="AE141" s="8"/>
      <c r="AF141" s="26"/>
      <c r="AG141" s="24">
        <f t="shared" si="40"/>
        <v>5430.36</v>
      </c>
      <c r="AH141" s="24">
        <v>57500</v>
      </c>
      <c r="AI141" s="24">
        <f t="shared" si="49"/>
        <v>113882.235</v>
      </c>
    </row>
    <row r="142" spans="1:35" ht="15.75">
      <c r="A142" s="3" t="s">
        <v>99</v>
      </c>
      <c r="B142" s="4" t="s">
        <v>70</v>
      </c>
      <c r="C142" s="3" t="s">
        <v>2</v>
      </c>
      <c r="D142" s="18">
        <v>3209.3</v>
      </c>
      <c r="E142" s="11">
        <f t="shared" si="41"/>
        <v>13864.176</v>
      </c>
      <c r="F142" s="11">
        <f t="shared" si="42"/>
        <v>45828.804000000004</v>
      </c>
      <c r="G142" s="11">
        <f t="shared" si="43"/>
        <v>45443.688</v>
      </c>
      <c r="H142" s="11">
        <f t="shared" si="44"/>
        <v>10013.016000000001</v>
      </c>
      <c r="I142" s="11">
        <f t="shared" si="45"/>
        <v>2310.696</v>
      </c>
      <c r="J142" s="11">
        <f t="shared" si="46"/>
        <v>6932.088</v>
      </c>
      <c r="K142" s="11">
        <f>80*8*4+80*6*2</f>
        <v>3520</v>
      </c>
      <c r="L142" s="8">
        <f>144.73*2</f>
        <v>289.46</v>
      </c>
      <c r="M142" s="8"/>
      <c r="N142" s="8"/>
      <c r="O142" s="16">
        <f t="shared" si="36"/>
        <v>8825.575</v>
      </c>
      <c r="P142" s="24">
        <f t="shared" si="47"/>
        <v>137027.50300000003</v>
      </c>
      <c r="Q142" s="24">
        <f>D142*1.27*5+D142*1.34*7</f>
        <v>50482.289000000004</v>
      </c>
      <c r="R142" s="26">
        <f t="shared" si="37"/>
        <v>118423.17000000001</v>
      </c>
      <c r="S142" s="11"/>
      <c r="T142" s="11"/>
      <c r="U142" s="11"/>
      <c r="V142" s="11"/>
      <c r="W142" s="11"/>
      <c r="X142" s="11"/>
      <c r="Y142" s="24">
        <f t="shared" si="48"/>
        <v>0</v>
      </c>
      <c r="Z142" s="24">
        <f t="shared" si="38"/>
        <v>49679.96400000001</v>
      </c>
      <c r="AA142" s="24"/>
      <c r="AB142" s="24">
        <f t="shared" si="32"/>
        <v>18870.684</v>
      </c>
      <c r="AC142" s="26">
        <f t="shared" si="39"/>
        <v>8988.44</v>
      </c>
      <c r="AD142" s="8"/>
      <c r="AE142" s="8"/>
      <c r="AF142" s="26"/>
      <c r="AG142" s="24">
        <f t="shared" si="40"/>
        <v>45443.688</v>
      </c>
      <c r="AH142" s="24">
        <v>57500</v>
      </c>
      <c r="AI142" s="24">
        <f t="shared" si="49"/>
        <v>486415.7380000001</v>
      </c>
    </row>
    <row r="143" spans="1:35" ht="15.75">
      <c r="A143" s="3" t="s">
        <v>101</v>
      </c>
      <c r="B143" s="4" t="s">
        <v>102</v>
      </c>
      <c r="C143" s="3" t="s">
        <v>2</v>
      </c>
      <c r="D143" s="18">
        <v>1317.6</v>
      </c>
      <c r="E143" s="11">
        <f t="shared" si="41"/>
        <v>5692.031999999999</v>
      </c>
      <c r="F143" s="11">
        <f t="shared" si="42"/>
        <v>18815.327999999998</v>
      </c>
      <c r="G143" s="11">
        <f t="shared" si="43"/>
        <v>18657.215999999997</v>
      </c>
      <c r="H143" s="11">
        <f t="shared" si="44"/>
        <v>4110.911999999999</v>
      </c>
      <c r="I143" s="11">
        <f t="shared" si="45"/>
        <v>948.672</v>
      </c>
      <c r="J143" s="11">
        <f t="shared" si="46"/>
        <v>2846.0159999999996</v>
      </c>
      <c r="K143" s="11">
        <f>18*8*4+18*6*2</f>
        <v>792</v>
      </c>
      <c r="L143" s="8"/>
      <c r="M143" s="8"/>
      <c r="N143" s="8"/>
      <c r="O143" s="16">
        <f t="shared" si="36"/>
        <v>3623.4000000000005</v>
      </c>
      <c r="P143" s="24">
        <f t="shared" si="47"/>
        <v>55485.575999999994</v>
      </c>
      <c r="Q143" s="24"/>
      <c r="R143" s="26">
        <f t="shared" si="37"/>
        <v>48619.44</v>
      </c>
      <c r="S143" s="11"/>
      <c r="T143" s="11"/>
      <c r="U143" s="11"/>
      <c r="V143" s="11"/>
      <c r="W143" s="11"/>
      <c r="X143" s="11"/>
      <c r="Y143" s="24">
        <f t="shared" si="48"/>
        <v>0</v>
      </c>
      <c r="Z143" s="24">
        <f t="shared" si="38"/>
        <v>20396.448</v>
      </c>
      <c r="AA143" s="24"/>
      <c r="AB143" s="24">
        <f t="shared" si="32"/>
        <v>7747.487999999999</v>
      </c>
      <c r="AC143" s="26">
        <f t="shared" si="39"/>
        <v>3691.68</v>
      </c>
      <c r="AD143" s="8"/>
      <c r="AE143" s="8"/>
      <c r="AF143" s="26"/>
      <c r="AG143" s="24">
        <f t="shared" si="40"/>
        <v>18657.215999999997</v>
      </c>
      <c r="AH143" s="24">
        <v>57500</v>
      </c>
      <c r="AI143" s="24">
        <f t="shared" si="49"/>
        <v>212097.848</v>
      </c>
    </row>
    <row r="144" spans="1:35" ht="15.75">
      <c r="A144" s="3" t="s">
        <v>101</v>
      </c>
      <c r="B144" s="4" t="s">
        <v>31</v>
      </c>
      <c r="C144" s="3" t="s">
        <v>2</v>
      </c>
      <c r="D144" s="21">
        <v>375.7</v>
      </c>
      <c r="E144" s="11">
        <f t="shared" si="41"/>
        <v>1623.024</v>
      </c>
      <c r="F144" s="11">
        <f t="shared" si="42"/>
        <v>5364.995999999999</v>
      </c>
      <c r="G144" s="11">
        <f t="shared" si="43"/>
        <v>5319.911999999999</v>
      </c>
      <c r="H144" s="11">
        <f t="shared" si="44"/>
        <v>1172.184</v>
      </c>
      <c r="I144" s="11">
        <f t="shared" si="45"/>
        <v>270.50399999999996</v>
      </c>
      <c r="J144" s="11">
        <f t="shared" si="46"/>
        <v>811.512</v>
      </c>
      <c r="K144" s="11">
        <f>8*6*2</f>
        <v>96</v>
      </c>
      <c r="L144" s="8"/>
      <c r="M144" s="8"/>
      <c r="N144" s="8"/>
      <c r="O144" s="16">
        <f t="shared" si="36"/>
        <v>1033.1750000000002</v>
      </c>
      <c r="P144" s="24">
        <f t="shared" si="47"/>
        <v>15691.306999999997</v>
      </c>
      <c r="Q144" s="24"/>
      <c r="R144" s="26">
        <f t="shared" si="37"/>
        <v>13863.33</v>
      </c>
      <c r="S144" s="11"/>
      <c r="T144" s="11"/>
      <c r="U144" s="11"/>
      <c r="V144" s="11"/>
      <c r="W144" s="11"/>
      <c r="X144" s="11"/>
      <c r="Y144" s="24">
        <f t="shared" si="48"/>
        <v>0</v>
      </c>
      <c r="Z144" s="24">
        <f t="shared" si="38"/>
        <v>5815.836</v>
      </c>
      <c r="AA144" s="24"/>
      <c r="AB144" s="24">
        <f t="shared" si="32"/>
        <v>2209.116</v>
      </c>
      <c r="AC144" s="26">
        <f t="shared" si="39"/>
        <v>1054.3600000000001</v>
      </c>
      <c r="AD144" s="8"/>
      <c r="AE144" s="8"/>
      <c r="AF144" s="26"/>
      <c r="AG144" s="24">
        <f t="shared" si="40"/>
        <v>5319.911999999999</v>
      </c>
      <c r="AH144" s="24"/>
      <c r="AI144" s="24">
        <f t="shared" si="49"/>
        <v>43953.861</v>
      </c>
    </row>
    <row r="145" spans="1:35" ht="15.75">
      <c r="A145" s="3" t="s">
        <v>101</v>
      </c>
      <c r="B145" s="4" t="s">
        <v>37</v>
      </c>
      <c r="C145" s="3" t="s">
        <v>2</v>
      </c>
      <c r="D145" s="18">
        <v>5718.8</v>
      </c>
      <c r="E145" s="11">
        <f t="shared" si="41"/>
        <v>24705.216</v>
      </c>
      <c r="F145" s="11">
        <f t="shared" si="42"/>
        <v>81664.464</v>
      </c>
      <c r="G145" s="11">
        <f t="shared" si="43"/>
        <v>80978.208</v>
      </c>
      <c r="H145" s="11">
        <f t="shared" si="44"/>
        <v>17842.656000000003</v>
      </c>
      <c r="I145" s="11">
        <f t="shared" si="45"/>
        <v>4117.536</v>
      </c>
      <c r="J145" s="11">
        <f t="shared" si="46"/>
        <v>12352.608</v>
      </c>
      <c r="K145" s="11">
        <f>133*6*2</f>
        <v>1596</v>
      </c>
      <c r="L145" s="8">
        <f>144.73*3</f>
        <v>434.18999999999994</v>
      </c>
      <c r="M145" s="8"/>
      <c r="N145" s="8"/>
      <c r="O145" s="16">
        <f t="shared" si="36"/>
        <v>15726.7</v>
      </c>
      <c r="P145" s="24">
        <f t="shared" si="47"/>
        <v>239417.578</v>
      </c>
      <c r="Q145" s="24">
        <f>D145*1.27*5+D145*1.34*7</f>
        <v>89956.72400000002</v>
      </c>
      <c r="R145" s="26">
        <f t="shared" si="37"/>
        <v>211023.72000000003</v>
      </c>
      <c r="S145" s="11"/>
      <c r="T145" s="11"/>
      <c r="U145" s="11"/>
      <c r="V145" s="11"/>
      <c r="W145" s="11"/>
      <c r="X145" s="11"/>
      <c r="Y145" s="24">
        <f t="shared" si="48"/>
        <v>0</v>
      </c>
      <c r="Z145" s="24">
        <f t="shared" si="38"/>
        <v>88527.024</v>
      </c>
      <c r="AA145" s="24"/>
      <c r="AB145" s="24">
        <f t="shared" si="32"/>
        <v>33626.544</v>
      </c>
      <c r="AC145" s="26">
        <f t="shared" si="39"/>
        <v>16015.039999999999</v>
      </c>
      <c r="AD145" s="8"/>
      <c r="AE145" s="8"/>
      <c r="AF145" s="26"/>
      <c r="AG145" s="24">
        <f t="shared" si="40"/>
        <v>80978.208</v>
      </c>
      <c r="AH145" s="24">
        <v>57500</v>
      </c>
      <c r="AI145" s="24">
        <f t="shared" si="49"/>
        <v>817044.8380000001</v>
      </c>
    </row>
    <row r="146" spans="1:35" ht="15.75">
      <c r="A146" s="3" t="s">
        <v>101</v>
      </c>
      <c r="B146" s="4" t="s">
        <v>103</v>
      </c>
      <c r="C146" s="3" t="s">
        <v>2</v>
      </c>
      <c r="D146" s="18">
        <v>1039.6</v>
      </c>
      <c r="E146" s="11">
        <f t="shared" si="41"/>
        <v>4491.072</v>
      </c>
      <c r="F146" s="11">
        <f t="shared" si="42"/>
        <v>14845.487999999998</v>
      </c>
      <c r="G146" s="11">
        <f t="shared" si="43"/>
        <v>14720.735999999997</v>
      </c>
      <c r="H146" s="11">
        <f t="shared" si="44"/>
        <v>3243.5519999999997</v>
      </c>
      <c r="I146" s="11">
        <f t="shared" si="45"/>
        <v>748.512</v>
      </c>
      <c r="J146" s="11">
        <f t="shared" si="46"/>
        <v>2245.536</v>
      </c>
      <c r="K146" s="11">
        <f>16*8*4+16*6*2</f>
        <v>704</v>
      </c>
      <c r="L146" s="8"/>
      <c r="M146" s="8"/>
      <c r="N146" s="8">
        <f>1124*20.77</f>
        <v>23345.48</v>
      </c>
      <c r="O146" s="16">
        <f t="shared" si="36"/>
        <v>2858.8999999999996</v>
      </c>
      <c r="P146" s="24">
        <f t="shared" si="47"/>
        <v>67203.276</v>
      </c>
      <c r="Q146" s="24"/>
      <c r="R146" s="26">
        <f t="shared" si="37"/>
        <v>38361.24</v>
      </c>
      <c r="S146" s="11"/>
      <c r="T146" s="11"/>
      <c r="U146" s="11"/>
      <c r="V146" s="11"/>
      <c r="W146" s="11"/>
      <c r="X146" s="11"/>
      <c r="Y146" s="24">
        <f t="shared" si="48"/>
        <v>0</v>
      </c>
      <c r="Z146" s="24">
        <f t="shared" si="38"/>
        <v>16093.007999999998</v>
      </c>
      <c r="AA146" s="24"/>
      <c r="AB146" s="24">
        <f t="shared" si="32"/>
        <v>6112.847999999999</v>
      </c>
      <c r="AC146" s="26">
        <f t="shared" si="39"/>
        <v>2913.2799999999997</v>
      </c>
      <c r="AD146" s="8"/>
      <c r="AE146" s="8"/>
      <c r="AF146" s="26"/>
      <c r="AG146" s="24">
        <f t="shared" si="40"/>
        <v>14720.735999999997</v>
      </c>
      <c r="AH146" s="24"/>
      <c r="AI146" s="24">
        <f t="shared" si="49"/>
        <v>145404.388</v>
      </c>
    </row>
    <row r="147" spans="1:35" ht="15.75">
      <c r="A147" s="3" t="s">
        <v>101</v>
      </c>
      <c r="B147" s="4" t="s">
        <v>71</v>
      </c>
      <c r="C147" s="3" t="s">
        <v>2</v>
      </c>
      <c r="D147" s="18">
        <v>399.7</v>
      </c>
      <c r="E147" s="11">
        <f t="shared" si="41"/>
        <v>1726.704</v>
      </c>
      <c r="F147" s="11">
        <f t="shared" si="42"/>
        <v>5707.715999999999</v>
      </c>
      <c r="G147" s="11">
        <f t="shared" si="43"/>
        <v>5659.7519999999995</v>
      </c>
      <c r="H147" s="11">
        <f t="shared" si="44"/>
        <v>1247.0639999999999</v>
      </c>
      <c r="I147" s="11">
        <f t="shared" si="45"/>
        <v>287.784</v>
      </c>
      <c r="J147" s="11">
        <f t="shared" si="46"/>
        <v>863.352</v>
      </c>
      <c r="K147" s="11">
        <f>8*230</f>
        <v>1840</v>
      </c>
      <c r="L147" s="8"/>
      <c r="M147" s="8"/>
      <c r="N147" s="8"/>
      <c r="O147" s="16">
        <f t="shared" si="36"/>
        <v>1099.175</v>
      </c>
      <c r="P147" s="24">
        <f t="shared" si="47"/>
        <v>18431.547</v>
      </c>
      <c r="Q147" s="24"/>
      <c r="R147" s="26">
        <f t="shared" si="37"/>
        <v>14748.93</v>
      </c>
      <c r="S147" s="11"/>
      <c r="T147" s="11"/>
      <c r="U147" s="11"/>
      <c r="V147" s="11"/>
      <c r="W147" s="11"/>
      <c r="X147" s="11"/>
      <c r="Y147" s="24">
        <f t="shared" si="48"/>
        <v>0</v>
      </c>
      <c r="Z147" s="24">
        <f t="shared" si="38"/>
        <v>6187.356000000001</v>
      </c>
      <c r="AA147" s="24"/>
      <c r="AB147" s="24">
        <f t="shared" si="32"/>
        <v>2350.236</v>
      </c>
      <c r="AC147" s="26">
        <f t="shared" si="39"/>
        <v>1121.56</v>
      </c>
      <c r="AD147" s="8"/>
      <c r="AE147" s="8"/>
      <c r="AF147" s="26"/>
      <c r="AG147" s="24">
        <f t="shared" si="40"/>
        <v>5659.7519999999995</v>
      </c>
      <c r="AH147" s="24"/>
      <c r="AI147" s="24">
        <f t="shared" si="49"/>
        <v>48499.380999999994</v>
      </c>
    </row>
    <row r="148" spans="1:35" ht="15.75">
      <c r="A148" s="3" t="s">
        <v>101</v>
      </c>
      <c r="B148" s="4" t="s">
        <v>104</v>
      </c>
      <c r="C148" s="3" t="s">
        <v>2</v>
      </c>
      <c r="D148" s="21">
        <v>280.9</v>
      </c>
      <c r="E148" s="11">
        <f t="shared" si="41"/>
        <v>1213.4879999999998</v>
      </c>
      <c r="F148" s="11">
        <f t="shared" si="42"/>
        <v>4011.2519999999995</v>
      </c>
      <c r="G148" s="11">
        <f t="shared" si="43"/>
        <v>3977.543999999999</v>
      </c>
      <c r="H148" s="11">
        <f t="shared" si="44"/>
        <v>876.4079999999999</v>
      </c>
      <c r="I148" s="11">
        <f t="shared" si="45"/>
        <v>202.248</v>
      </c>
      <c r="J148" s="11">
        <f t="shared" si="46"/>
        <v>606.7439999999999</v>
      </c>
      <c r="K148" s="11">
        <f>5*230</f>
        <v>1150</v>
      </c>
      <c r="L148" s="8"/>
      <c r="M148" s="8"/>
      <c r="N148" s="8"/>
      <c r="O148" s="16">
        <f t="shared" si="36"/>
        <v>772.475</v>
      </c>
      <c r="P148" s="24">
        <f t="shared" si="47"/>
        <v>12810.159</v>
      </c>
      <c r="Q148" s="24"/>
      <c r="R148" s="26">
        <f t="shared" si="37"/>
        <v>10365.21</v>
      </c>
      <c r="S148" s="11"/>
      <c r="T148" s="11"/>
      <c r="U148" s="11"/>
      <c r="V148" s="11"/>
      <c r="W148" s="11"/>
      <c r="X148" s="11"/>
      <c r="Y148" s="24">
        <f t="shared" si="48"/>
        <v>0</v>
      </c>
      <c r="Z148" s="24">
        <f t="shared" si="38"/>
        <v>4348.332</v>
      </c>
      <c r="AA148" s="24"/>
      <c r="AB148" s="24">
        <f t="shared" si="32"/>
        <v>1651.692</v>
      </c>
      <c r="AC148" s="26">
        <f t="shared" si="39"/>
        <v>788.92</v>
      </c>
      <c r="AD148" s="8"/>
      <c r="AE148" s="8"/>
      <c r="AF148" s="26"/>
      <c r="AG148" s="24">
        <f t="shared" si="40"/>
        <v>3977.543999999999</v>
      </c>
      <c r="AH148" s="24"/>
      <c r="AI148" s="24">
        <f t="shared" si="49"/>
        <v>33941.856999999996</v>
      </c>
    </row>
    <row r="149" spans="1:35" ht="15.75">
      <c r="A149" s="5" t="s">
        <v>105</v>
      </c>
      <c r="B149" s="5" t="s">
        <v>69</v>
      </c>
      <c r="C149" s="3" t="s">
        <v>2</v>
      </c>
      <c r="D149" s="21">
        <v>129.7</v>
      </c>
      <c r="E149" s="11">
        <f t="shared" si="41"/>
        <v>560.3039999999999</v>
      </c>
      <c r="F149" s="11">
        <f t="shared" si="42"/>
        <v>1852.116</v>
      </c>
      <c r="G149" s="11">
        <f t="shared" si="43"/>
        <v>1836.552</v>
      </c>
      <c r="H149" s="11">
        <f t="shared" si="44"/>
        <v>404.664</v>
      </c>
      <c r="I149" s="11">
        <f t="shared" si="45"/>
        <v>93.38399999999999</v>
      </c>
      <c r="J149" s="11">
        <f t="shared" si="46"/>
        <v>280.15199999999993</v>
      </c>
      <c r="K149" s="11">
        <f>3*6*2</f>
        <v>36</v>
      </c>
      <c r="L149" s="8"/>
      <c r="M149" s="8"/>
      <c r="N149" s="8"/>
      <c r="O149" s="16">
        <f t="shared" si="36"/>
        <v>356.67499999999995</v>
      </c>
      <c r="P149" s="24">
        <f t="shared" si="47"/>
        <v>5419.847</v>
      </c>
      <c r="Q149" s="24"/>
      <c r="R149" s="26">
        <f t="shared" si="37"/>
        <v>4785.93</v>
      </c>
      <c r="S149" s="11"/>
      <c r="T149" s="11"/>
      <c r="U149" s="11"/>
      <c r="V149" s="11"/>
      <c r="W149" s="11"/>
      <c r="X149" s="11"/>
      <c r="Y149" s="24">
        <f t="shared" si="48"/>
        <v>0</v>
      </c>
      <c r="Z149" s="24">
        <f t="shared" si="38"/>
        <v>2007.7559999999999</v>
      </c>
      <c r="AA149" s="24"/>
      <c r="AB149" s="24">
        <f t="shared" si="32"/>
        <v>762.6359999999999</v>
      </c>
      <c r="AC149" s="26">
        <f t="shared" si="39"/>
        <v>365.55999999999995</v>
      </c>
      <c r="AD149" s="8"/>
      <c r="AE149" s="8"/>
      <c r="AF149" s="26"/>
      <c r="AG149" s="24">
        <f t="shared" si="40"/>
        <v>1836.552</v>
      </c>
      <c r="AH149" s="24"/>
      <c r="AI149" s="24">
        <f t="shared" si="49"/>
        <v>15178.280999999999</v>
      </c>
    </row>
    <row r="150" spans="1:35" ht="15.75">
      <c r="A150" s="3" t="s">
        <v>105</v>
      </c>
      <c r="B150" s="4" t="s">
        <v>64</v>
      </c>
      <c r="C150" s="3" t="s">
        <v>2</v>
      </c>
      <c r="D150" s="21">
        <v>178.3</v>
      </c>
      <c r="E150" s="11">
        <f t="shared" si="41"/>
        <v>770.2560000000001</v>
      </c>
      <c r="F150" s="11">
        <f t="shared" si="42"/>
        <v>2546.124</v>
      </c>
      <c r="G150" s="11">
        <f t="shared" si="43"/>
        <v>2524.728</v>
      </c>
      <c r="H150" s="11">
        <f t="shared" si="44"/>
        <v>556.296</v>
      </c>
      <c r="I150" s="11">
        <f t="shared" si="45"/>
        <v>128.376</v>
      </c>
      <c r="J150" s="11">
        <f t="shared" si="46"/>
        <v>385.12800000000004</v>
      </c>
      <c r="K150" s="11">
        <f>4*6*2</f>
        <v>48</v>
      </c>
      <c r="L150" s="8"/>
      <c r="M150" s="8"/>
      <c r="N150" s="8"/>
      <c r="O150" s="16">
        <f t="shared" si="36"/>
        <v>490.32500000000005</v>
      </c>
      <c r="P150" s="24">
        <f t="shared" si="47"/>
        <v>7449.233</v>
      </c>
      <c r="Q150" s="24"/>
      <c r="R150" s="26">
        <f t="shared" si="37"/>
        <v>6579.27</v>
      </c>
      <c r="S150" s="11"/>
      <c r="T150" s="11"/>
      <c r="U150" s="11"/>
      <c r="V150" s="11"/>
      <c r="W150" s="11"/>
      <c r="X150" s="11"/>
      <c r="Y150" s="24">
        <f t="shared" si="48"/>
        <v>0</v>
      </c>
      <c r="Z150" s="24">
        <f t="shared" si="38"/>
        <v>2760.0840000000003</v>
      </c>
      <c r="AA150" s="24"/>
      <c r="AB150" s="24">
        <f t="shared" si="32"/>
        <v>1048.404</v>
      </c>
      <c r="AC150" s="26">
        <f t="shared" si="39"/>
        <v>501.64000000000004</v>
      </c>
      <c r="AD150" s="8"/>
      <c r="AE150" s="8"/>
      <c r="AF150" s="26"/>
      <c r="AG150" s="24">
        <f t="shared" si="40"/>
        <v>2524.728</v>
      </c>
      <c r="AH150" s="24"/>
      <c r="AI150" s="24">
        <f t="shared" si="49"/>
        <v>20863.358999999997</v>
      </c>
    </row>
    <row r="151" spans="1:35" ht="15.75">
      <c r="A151" s="5" t="s">
        <v>105</v>
      </c>
      <c r="B151" s="5" t="s">
        <v>106</v>
      </c>
      <c r="C151" s="3" t="s">
        <v>2</v>
      </c>
      <c r="D151" s="21">
        <v>202.5</v>
      </c>
      <c r="E151" s="11">
        <f t="shared" si="41"/>
        <v>874.8</v>
      </c>
      <c r="F151" s="11">
        <f t="shared" si="42"/>
        <v>2891.7</v>
      </c>
      <c r="G151" s="11">
        <f t="shared" si="43"/>
        <v>2867.3999999999996</v>
      </c>
      <c r="H151" s="11">
        <f t="shared" si="44"/>
        <v>631.8</v>
      </c>
      <c r="I151" s="11">
        <f t="shared" si="45"/>
        <v>145.8</v>
      </c>
      <c r="J151" s="11">
        <f t="shared" si="46"/>
        <v>437.4</v>
      </c>
      <c r="K151" s="11">
        <f>6*230</f>
        <v>1380</v>
      </c>
      <c r="L151" s="8"/>
      <c r="M151" s="8"/>
      <c r="N151" s="8"/>
      <c r="O151" s="16">
        <f t="shared" si="36"/>
        <v>556.8750000000001</v>
      </c>
      <c r="P151" s="24">
        <f t="shared" si="47"/>
        <v>9785.775</v>
      </c>
      <c r="Q151" s="24"/>
      <c r="R151" s="26">
        <f t="shared" si="37"/>
        <v>7472.25</v>
      </c>
      <c r="S151" s="11"/>
      <c r="T151" s="11"/>
      <c r="U151" s="11"/>
      <c r="V151" s="11"/>
      <c r="W151" s="11"/>
      <c r="X151" s="11"/>
      <c r="Y151" s="24">
        <f t="shared" si="48"/>
        <v>0</v>
      </c>
      <c r="Z151" s="24">
        <f t="shared" si="38"/>
        <v>3134.7000000000003</v>
      </c>
      <c r="AA151" s="24"/>
      <c r="AB151" s="24">
        <f t="shared" si="32"/>
        <v>1190.6999999999998</v>
      </c>
      <c r="AC151" s="26">
        <f t="shared" si="39"/>
        <v>569.4</v>
      </c>
      <c r="AD151" s="8"/>
      <c r="AE151" s="8"/>
      <c r="AF151" s="26"/>
      <c r="AG151" s="24">
        <f t="shared" si="40"/>
        <v>2867.3999999999996</v>
      </c>
      <c r="AH151" s="24"/>
      <c r="AI151" s="24">
        <f t="shared" si="49"/>
        <v>25020.225000000006</v>
      </c>
    </row>
    <row r="152" spans="1:35" ht="15.75">
      <c r="A152" s="3" t="s">
        <v>105</v>
      </c>
      <c r="B152" s="4" t="s">
        <v>107</v>
      </c>
      <c r="C152" s="3" t="s">
        <v>2</v>
      </c>
      <c r="D152" s="18">
        <v>640.3</v>
      </c>
      <c r="E152" s="11">
        <f t="shared" si="41"/>
        <v>2766.0959999999995</v>
      </c>
      <c r="F152" s="11">
        <f t="shared" si="42"/>
        <v>9143.483999999999</v>
      </c>
      <c r="G152" s="11">
        <f t="shared" si="43"/>
        <v>9066.647999999997</v>
      </c>
      <c r="H152" s="11">
        <f t="shared" si="44"/>
        <v>1997.7359999999999</v>
      </c>
      <c r="I152" s="11">
        <f t="shared" si="45"/>
        <v>461.01599999999996</v>
      </c>
      <c r="J152" s="11">
        <f t="shared" si="46"/>
        <v>1383.0479999999998</v>
      </c>
      <c r="K152" s="11">
        <f>16*8*4+16*6*2</f>
        <v>704</v>
      </c>
      <c r="L152" s="8">
        <f>144.73*22</f>
        <v>3184.06</v>
      </c>
      <c r="M152" s="8"/>
      <c r="N152" s="8"/>
      <c r="O152" s="16">
        <f t="shared" si="36"/>
        <v>1760.825</v>
      </c>
      <c r="P152" s="24">
        <f t="shared" si="47"/>
        <v>30466.912999999997</v>
      </c>
      <c r="Q152" s="24"/>
      <c r="R152" s="26">
        <f t="shared" si="37"/>
        <v>23627.07</v>
      </c>
      <c r="S152" s="11">
        <f>120*700</f>
        <v>84000</v>
      </c>
      <c r="T152" s="11"/>
      <c r="U152" s="11"/>
      <c r="V152" s="11"/>
      <c r="W152" s="11"/>
      <c r="X152" s="11"/>
      <c r="Y152" s="24">
        <f t="shared" si="48"/>
        <v>84000</v>
      </c>
      <c r="Z152" s="24">
        <f t="shared" si="38"/>
        <v>9911.844</v>
      </c>
      <c r="AA152" s="24"/>
      <c r="AB152" s="24">
        <f t="shared" si="32"/>
        <v>3764.9639999999995</v>
      </c>
      <c r="AC152" s="26">
        <f t="shared" si="39"/>
        <v>1795.2400000000002</v>
      </c>
      <c r="AD152" s="8"/>
      <c r="AE152" s="8"/>
      <c r="AF152" s="26"/>
      <c r="AG152" s="24">
        <f t="shared" si="40"/>
        <v>9066.647999999997</v>
      </c>
      <c r="AH152" s="24">
        <v>57500</v>
      </c>
      <c r="AI152" s="24">
        <f t="shared" si="49"/>
        <v>220132.679</v>
      </c>
    </row>
    <row r="153" spans="1:35" ht="15.75">
      <c r="A153" s="3" t="s">
        <v>105</v>
      </c>
      <c r="B153" s="4" t="s">
        <v>108</v>
      </c>
      <c r="C153" s="3" t="s">
        <v>2</v>
      </c>
      <c r="D153" s="18">
        <v>636.1</v>
      </c>
      <c r="E153" s="11">
        <f t="shared" si="41"/>
        <v>2747.952</v>
      </c>
      <c r="F153" s="11">
        <f t="shared" si="42"/>
        <v>9083.508</v>
      </c>
      <c r="G153" s="11">
        <f t="shared" si="43"/>
        <v>9007.176</v>
      </c>
      <c r="H153" s="11">
        <f t="shared" si="44"/>
        <v>1984.6320000000003</v>
      </c>
      <c r="I153" s="11">
        <f t="shared" si="45"/>
        <v>457.99199999999996</v>
      </c>
      <c r="J153" s="11">
        <f t="shared" si="46"/>
        <v>1373.976</v>
      </c>
      <c r="K153" s="11">
        <f>16*8*4+16*6*2</f>
        <v>704</v>
      </c>
      <c r="L153" s="8">
        <f>144.73*22</f>
        <v>3184.06</v>
      </c>
      <c r="M153" s="8"/>
      <c r="N153" s="8">
        <f>570*20.77</f>
        <v>11838.9</v>
      </c>
      <c r="O153" s="16">
        <f t="shared" si="36"/>
        <v>1749.275</v>
      </c>
      <c r="P153" s="24">
        <f t="shared" si="47"/>
        <v>42131.471</v>
      </c>
      <c r="Q153" s="24"/>
      <c r="R153" s="26">
        <f t="shared" si="37"/>
        <v>23472.090000000004</v>
      </c>
      <c r="S153" s="11">
        <f>141*700</f>
        <v>98700</v>
      </c>
      <c r="T153" s="11"/>
      <c r="U153" s="11"/>
      <c r="V153" s="11"/>
      <c r="W153" s="11">
        <f>4*220</f>
        <v>880</v>
      </c>
      <c r="X153" s="11"/>
      <c r="Y153" s="24">
        <f t="shared" si="48"/>
        <v>99580</v>
      </c>
      <c r="Z153" s="24">
        <f t="shared" si="38"/>
        <v>9846.828000000001</v>
      </c>
      <c r="AA153" s="24"/>
      <c r="AB153" s="24">
        <f t="shared" si="32"/>
        <v>3740.268</v>
      </c>
      <c r="AC153" s="26">
        <f t="shared" si="39"/>
        <v>1783.4800000000002</v>
      </c>
      <c r="AD153" s="8"/>
      <c r="AE153" s="8"/>
      <c r="AF153" s="26"/>
      <c r="AG153" s="24">
        <f t="shared" si="40"/>
        <v>9007.176</v>
      </c>
      <c r="AH153" s="24">
        <v>57500</v>
      </c>
      <c r="AI153" s="24">
        <f t="shared" si="49"/>
        <v>247061.31300000002</v>
      </c>
    </row>
    <row r="154" spans="1:35" ht="15.75">
      <c r="A154" s="3" t="s">
        <v>109</v>
      </c>
      <c r="B154" s="4" t="s">
        <v>1</v>
      </c>
      <c r="C154" s="3" t="s">
        <v>2</v>
      </c>
      <c r="D154" s="18">
        <v>3430</v>
      </c>
      <c r="E154" s="11">
        <f t="shared" si="41"/>
        <v>14817.599999999999</v>
      </c>
      <c r="F154" s="11">
        <f t="shared" si="42"/>
        <v>48980.399999999994</v>
      </c>
      <c r="G154" s="11">
        <f t="shared" si="43"/>
        <v>48568.799999999996</v>
      </c>
      <c r="H154" s="11">
        <f t="shared" si="44"/>
        <v>10701.6</v>
      </c>
      <c r="I154" s="11">
        <f t="shared" si="45"/>
        <v>2469.6</v>
      </c>
      <c r="J154" s="11">
        <f t="shared" si="46"/>
        <v>7408.799999999999</v>
      </c>
      <c r="K154" s="11">
        <f>75*6*2</f>
        <v>900</v>
      </c>
      <c r="L154" s="8">
        <f>144.73*3</f>
        <v>434.18999999999994</v>
      </c>
      <c r="M154" s="8"/>
      <c r="N154" s="8"/>
      <c r="O154" s="16">
        <f t="shared" si="36"/>
        <v>9432.500000000002</v>
      </c>
      <c r="P154" s="24">
        <f t="shared" si="47"/>
        <v>143713.49</v>
      </c>
      <c r="Q154" s="24">
        <f>D154*1.27*5+D154*1.34*7</f>
        <v>53953.90000000001</v>
      </c>
      <c r="R154" s="26">
        <f t="shared" si="37"/>
        <v>126567</v>
      </c>
      <c r="S154" s="11"/>
      <c r="T154" s="11"/>
      <c r="U154" s="11"/>
      <c r="V154" s="11"/>
      <c r="W154" s="11"/>
      <c r="X154" s="11"/>
      <c r="Y154" s="24">
        <f t="shared" si="48"/>
        <v>0</v>
      </c>
      <c r="Z154" s="24">
        <f t="shared" si="38"/>
        <v>53096.399999999994</v>
      </c>
      <c r="AA154" s="24"/>
      <c r="AB154" s="24">
        <f t="shared" si="32"/>
        <v>20168.4</v>
      </c>
      <c r="AC154" s="26">
        <f t="shared" si="39"/>
        <v>9606.4</v>
      </c>
      <c r="AD154" s="8"/>
      <c r="AE154" s="8"/>
      <c r="AF154" s="26"/>
      <c r="AG154" s="24">
        <f t="shared" si="40"/>
        <v>48568.799999999996</v>
      </c>
      <c r="AH154" s="24">
        <v>57500</v>
      </c>
      <c r="AI154" s="24">
        <f t="shared" si="49"/>
        <v>513174.3900000001</v>
      </c>
    </row>
    <row r="155" spans="1:35" ht="15.75">
      <c r="A155" s="3" t="s">
        <v>109</v>
      </c>
      <c r="B155" s="4" t="s">
        <v>1</v>
      </c>
      <c r="C155" s="3" t="s">
        <v>110</v>
      </c>
      <c r="D155" s="18">
        <v>3452.8</v>
      </c>
      <c r="E155" s="11">
        <f t="shared" si="41"/>
        <v>14916.096000000001</v>
      </c>
      <c r="F155" s="11">
        <f t="shared" si="42"/>
        <v>49305.984000000004</v>
      </c>
      <c r="G155" s="11">
        <f t="shared" si="43"/>
        <v>48891.648</v>
      </c>
      <c r="H155" s="11">
        <f t="shared" si="44"/>
        <v>10772.736</v>
      </c>
      <c r="I155" s="11">
        <f t="shared" si="45"/>
        <v>2486.016</v>
      </c>
      <c r="J155" s="11">
        <f t="shared" si="46"/>
        <v>7458.048000000001</v>
      </c>
      <c r="K155" s="11">
        <f>75*6*2</f>
        <v>900</v>
      </c>
      <c r="L155" s="8">
        <f>144.73*3</f>
        <v>434.18999999999994</v>
      </c>
      <c r="M155" s="8"/>
      <c r="N155" s="8"/>
      <c r="O155" s="16">
        <f t="shared" si="36"/>
        <v>9495.2</v>
      </c>
      <c r="P155" s="24">
        <f t="shared" si="47"/>
        <v>144659.91800000003</v>
      </c>
      <c r="Q155" s="24">
        <f>D155*1.27*5+D155*1.34*7</f>
        <v>54312.54400000001</v>
      </c>
      <c r="R155" s="26">
        <f t="shared" si="37"/>
        <v>127408.32000000002</v>
      </c>
      <c r="S155" s="11"/>
      <c r="T155" s="11"/>
      <c r="U155" s="11"/>
      <c r="V155" s="11"/>
      <c r="W155" s="11"/>
      <c r="X155" s="11"/>
      <c r="Y155" s="24">
        <f t="shared" si="48"/>
        <v>0</v>
      </c>
      <c r="Z155" s="24">
        <f t="shared" si="38"/>
        <v>53449.344</v>
      </c>
      <c r="AA155" s="24"/>
      <c r="AB155" s="24">
        <f t="shared" si="32"/>
        <v>20302.464</v>
      </c>
      <c r="AC155" s="26">
        <f t="shared" si="39"/>
        <v>9670.24</v>
      </c>
      <c r="AD155" s="8"/>
      <c r="AE155" s="8"/>
      <c r="AF155" s="26"/>
      <c r="AG155" s="24">
        <f t="shared" si="40"/>
        <v>48891.648</v>
      </c>
      <c r="AH155" s="24"/>
      <c r="AI155" s="24">
        <f t="shared" si="49"/>
        <v>458694.478</v>
      </c>
    </row>
    <row r="156" spans="1:35" ht="15.75">
      <c r="A156" s="3" t="s">
        <v>109</v>
      </c>
      <c r="B156" s="4" t="s">
        <v>34</v>
      </c>
      <c r="C156" s="3" t="s">
        <v>2</v>
      </c>
      <c r="D156" s="21">
        <v>61</v>
      </c>
      <c r="E156" s="11">
        <f t="shared" si="41"/>
        <v>263.52</v>
      </c>
      <c r="F156" s="11">
        <f t="shared" si="42"/>
        <v>871.08</v>
      </c>
      <c r="G156" s="11">
        <f t="shared" si="43"/>
        <v>863.7599999999999</v>
      </c>
      <c r="H156" s="11">
        <f t="shared" si="44"/>
        <v>190.32000000000002</v>
      </c>
      <c r="I156" s="11">
        <f t="shared" si="45"/>
        <v>43.919999999999995</v>
      </c>
      <c r="J156" s="11">
        <f t="shared" si="46"/>
        <v>131.76</v>
      </c>
      <c r="K156" s="11">
        <f>2*230</f>
        <v>460</v>
      </c>
      <c r="L156" s="8"/>
      <c r="M156" s="8"/>
      <c r="N156" s="8"/>
      <c r="O156" s="16">
        <f t="shared" si="36"/>
        <v>167.75000000000003</v>
      </c>
      <c r="P156" s="24">
        <f t="shared" si="47"/>
        <v>2992.1099999999997</v>
      </c>
      <c r="Q156" s="24"/>
      <c r="R156" s="26">
        <f t="shared" si="37"/>
        <v>2250.9</v>
      </c>
      <c r="S156" s="11"/>
      <c r="T156" s="11"/>
      <c r="U156" s="11"/>
      <c r="V156" s="11"/>
      <c r="W156" s="11"/>
      <c r="X156" s="11"/>
      <c r="Y156" s="24">
        <f t="shared" si="48"/>
        <v>0</v>
      </c>
      <c r="Z156" s="24">
        <f t="shared" si="38"/>
        <v>944.28</v>
      </c>
      <c r="AA156" s="24"/>
      <c r="AB156" s="24">
        <f t="shared" si="32"/>
        <v>358.68</v>
      </c>
      <c r="AC156" s="26">
        <f t="shared" si="39"/>
        <v>173.20000000000002</v>
      </c>
      <c r="AD156" s="8"/>
      <c r="AE156" s="8"/>
      <c r="AF156" s="26"/>
      <c r="AG156" s="24">
        <f t="shared" si="40"/>
        <v>863.7599999999999</v>
      </c>
      <c r="AH156" s="24"/>
      <c r="AI156" s="24">
        <f t="shared" si="49"/>
        <v>7582.93</v>
      </c>
    </row>
    <row r="157" spans="1:35" ht="15.75">
      <c r="A157" s="3" t="s">
        <v>111</v>
      </c>
      <c r="B157" s="4" t="s">
        <v>79</v>
      </c>
      <c r="C157" s="3" t="s">
        <v>2</v>
      </c>
      <c r="D157" s="21">
        <v>1207.2</v>
      </c>
      <c r="E157" s="11">
        <f t="shared" si="41"/>
        <v>5215.103999999999</v>
      </c>
      <c r="F157" s="11">
        <f t="shared" si="42"/>
        <v>17238.816</v>
      </c>
      <c r="G157" s="11">
        <f t="shared" si="43"/>
        <v>17093.951999999997</v>
      </c>
      <c r="H157" s="11">
        <f t="shared" si="44"/>
        <v>3766.464</v>
      </c>
      <c r="I157" s="11">
        <f t="shared" si="45"/>
        <v>869.184</v>
      </c>
      <c r="J157" s="11">
        <f t="shared" si="46"/>
        <v>2607.5519999999997</v>
      </c>
      <c r="K157" s="11">
        <f>16*230</f>
        <v>3680</v>
      </c>
      <c r="L157" s="8">
        <f>144.73*2</f>
        <v>289.46</v>
      </c>
      <c r="M157" s="8"/>
      <c r="N157" s="8"/>
      <c r="O157" s="16">
        <f t="shared" si="36"/>
        <v>3319.8</v>
      </c>
      <c r="P157" s="24">
        <f t="shared" si="47"/>
        <v>54080.332</v>
      </c>
      <c r="Q157" s="24"/>
      <c r="R157" s="26">
        <f t="shared" si="37"/>
        <v>44545.68000000001</v>
      </c>
      <c r="S157" s="11"/>
      <c r="T157" s="11"/>
      <c r="U157" s="11"/>
      <c r="V157" s="11"/>
      <c r="W157" s="11"/>
      <c r="X157" s="11"/>
      <c r="Y157" s="24">
        <f t="shared" si="48"/>
        <v>0</v>
      </c>
      <c r="Z157" s="24">
        <f t="shared" si="38"/>
        <v>18687.456</v>
      </c>
      <c r="AA157" s="24"/>
      <c r="AB157" s="24">
        <f t="shared" si="32"/>
        <v>7098.336</v>
      </c>
      <c r="AC157" s="26">
        <f t="shared" si="39"/>
        <v>3382.5600000000004</v>
      </c>
      <c r="AD157" s="8"/>
      <c r="AE157" s="8"/>
      <c r="AF157" s="26"/>
      <c r="AG157" s="24">
        <f t="shared" si="40"/>
        <v>17093.951999999997</v>
      </c>
      <c r="AH157" s="24"/>
      <c r="AI157" s="24">
        <f t="shared" si="49"/>
        <v>144888.31600000002</v>
      </c>
    </row>
    <row r="158" spans="1:35" ht="15.75">
      <c r="A158" s="3" t="s">
        <v>112</v>
      </c>
      <c r="B158" s="4" t="s">
        <v>39</v>
      </c>
      <c r="C158" s="3" t="s">
        <v>2</v>
      </c>
      <c r="D158" s="18">
        <v>9787.2</v>
      </c>
      <c r="E158" s="11">
        <f t="shared" si="41"/>
        <v>42280.704000000005</v>
      </c>
      <c r="F158" s="11">
        <f t="shared" si="42"/>
        <v>139761.21600000001</v>
      </c>
      <c r="G158" s="11">
        <f t="shared" si="43"/>
        <v>138586.752</v>
      </c>
      <c r="H158" s="11">
        <f t="shared" si="44"/>
        <v>30536.064000000006</v>
      </c>
      <c r="I158" s="11">
        <f t="shared" si="45"/>
        <v>7046.784</v>
      </c>
      <c r="J158" s="11">
        <f t="shared" si="46"/>
        <v>21140.352000000003</v>
      </c>
      <c r="K158" s="11">
        <f>179*6*2</f>
        <v>2148</v>
      </c>
      <c r="L158" s="8">
        <f>144.73*3</f>
        <v>434.18999999999994</v>
      </c>
      <c r="M158" s="8"/>
      <c r="N158" s="8"/>
      <c r="O158" s="16">
        <f t="shared" si="36"/>
        <v>26914.800000000003</v>
      </c>
      <c r="P158" s="24">
        <f t="shared" si="47"/>
        <v>408848.862</v>
      </c>
      <c r="Q158" s="24">
        <f aca="true" t="shared" si="50" ref="Q158:Q177">D158*1.27*5+D158*1.34*7</f>
        <v>153952.65600000002</v>
      </c>
      <c r="R158" s="26">
        <f t="shared" si="37"/>
        <v>361147.68000000005</v>
      </c>
      <c r="S158" s="11"/>
      <c r="T158" s="11"/>
      <c r="U158" s="11"/>
      <c r="V158" s="11"/>
      <c r="W158" s="11"/>
      <c r="X158" s="11"/>
      <c r="Y158" s="24">
        <f t="shared" si="48"/>
        <v>0</v>
      </c>
      <c r="Z158" s="24">
        <f t="shared" si="38"/>
        <v>151505.85600000003</v>
      </c>
      <c r="AA158" s="24"/>
      <c r="AB158" s="24">
        <f t="shared" si="32"/>
        <v>57548.736000000004</v>
      </c>
      <c r="AC158" s="26">
        <f t="shared" si="39"/>
        <v>27406.560000000005</v>
      </c>
      <c r="AD158" s="8">
        <v>150520.45</v>
      </c>
      <c r="AE158" s="11">
        <v>8689.7</v>
      </c>
      <c r="AF158" s="26">
        <f>SUM(AD158:AE158)</f>
        <v>159210.15000000002</v>
      </c>
      <c r="AG158" s="24">
        <f t="shared" si="40"/>
        <v>138586.752</v>
      </c>
      <c r="AH158" s="24"/>
      <c r="AI158" s="24">
        <f t="shared" si="49"/>
        <v>1458207.252</v>
      </c>
    </row>
    <row r="159" spans="1:35" ht="15.75">
      <c r="A159" s="3" t="s">
        <v>112</v>
      </c>
      <c r="B159" s="4" t="s">
        <v>39</v>
      </c>
      <c r="C159" s="3" t="s">
        <v>110</v>
      </c>
      <c r="D159" s="18">
        <v>2640.5</v>
      </c>
      <c r="E159" s="11">
        <f t="shared" si="41"/>
        <v>11406.96</v>
      </c>
      <c r="F159" s="11">
        <f t="shared" si="42"/>
        <v>37706.34</v>
      </c>
      <c r="G159" s="11">
        <f t="shared" si="43"/>
        <v>37389.479999999996</v>
      </c>
      <c r="H159" s="11">
        <f t="shared" si="44"/>
        <v>8238.36</v>
      </c>
      <c r="I159" s="11">
        <f t="shared" si="45"/>
        <v>1901.16</v>
      </c>
      <c r="J159" s="11">
        <f t="shared" si="46"/>
        <v>5703.48</v>
      </c>
      <c r="K159" s="11">
        <f>54*6*2</f>
        <v>648</v>
      </c>
      <c r="L159" s="8">
        <f>144.73*60</f>
        <v>8683.8</v>
      </c>
      <c r="M159" s="8"/>
      <c r="N159" s="8"/>
      <c r="O159" s="16">
        <f t="shared" si="36"/>
        <v>7261.375</v>
      </c>
      <c r="P159" s="24">
        <f t="shared" si="47"/>
        <v>118938.955</v>
      </c>
      <c r="Q159" s="24">
        <f t="shared" si="50"/>
        <v>41535.065</v>
      </c>
      <c r="R159" s="26">
        <f t="shared" si="37"/>
        <v>97434.45000000001</v>
      </c>
      <c r="S159" s="11"/>
      <c r="T159" s="11"/>
      <c r="U159" s="11"/>
      <c r="V159" s="11"/>
      <c r="W159" s="11"/>
      <c r="X159" s="11">
        <v>13000</v>
      </c>
      <c r="Y159" s="24">
        <f t="shared" si="48"/>
        <v>13000</v>
      </c>
      <c r="Z159" s="24">
        <f t="shared" si="38"/>
        <v>40874.94</v>
      </c>
      <c r="AA159" s="24"/>
      <c r="AB159" s="24">
        <f aca="true" t="shared" si="51" ref="AB159:AB222">D159*0.49*12</f>
        <v>15526.14</v>
      </c>
      <c r="AC159" s="26">
        <f t="shared" si="39"/>
        <v>7395.8</v>
      </c>
      <c r="AD159" s="8">
        <v>30104.09</v>
      </c>
      <c r="AE159" s="8">
        <v>1737.94</v>
      </c>
      <c r="AF159" s="26">
        <f>SUM(AD159:AE159)</f>
        <v>31842.03</v>
      </c>
      <c r="AG159" s="24">
        <f t="shared" si="40"/>
        <v>37389.479999999996</v>
      </c>
      <c r="AH159" s="24"/>
      <c r="AI159" s="24">
        <f t="shared" si="49"/>
        <v>403936.86</v>
      </c>
    </row>
    <row r="160" spans="1:35" ht="15.75">
      <c r="A160" s="3" t="s">
        <v>112</v>
      </c>
      <c r="B160" s="4" t="s">
        <v>13</v>
      </c>
      <c r="C160" s="3" t="s">
        <v>2</v>
      </c>
      <c r="D160" s="18">
        <v>3226.8</v>
      </c>
      <c r="E160" s="11">
        <f t="shared" si="41"/>
        <v>13939.775999999998</v>
      </c>
      <c r="F160" s="11">
        <f t="shared" si="42"/>
        <v>46078.704</v>
      </c>
      <c r="G160" s="11">
        <f t="shared" si="43"/>
        <v>45691.488</v>
      </c>
      <c r="H160" s="11">
        <f t="shared" si="44"/>
        <v>10067.616000000002</v>
      </c>
      <c r="I160" s="11">
        <f t="shared" si="45"/>
        <v>2323.2960000000003</v>
      </c>
      <c r="J160" s="11">
        <f t="shared" si="46"/>
        <v>6969.887999999999</v>
      </c>
      <c r="K160" s="11">
        <f>60*8+60*6*2</f>
        <v>1200</v>
      </c>
      <c r="L160" s="8">
        <f>144.73*70</f>
        <v>10131.099999999999</v>
      </c>
      <c r="M160" s="8"/>
      <c r="N160" s="8"/>
      <c r="O160" s="16">
        <f t="shared" si="36"/>
        <v>8873.7</v>
      </c>
      <c r="P160" s="24">
        <f t="shared" si="47"/>
        <v>145275.56800000003</v>
      </c>
      <c r="Q160" s="24">
        <f t="shared" si="50"/>
        <v>50757.564</v>
      </c>
      <c r="R160" s="26">
        <f t="shared" si="37"/>
        <v>119068.92000000003</v>
      </c>
      <c r="S160" s="11"/>
      <c r="T160" s="11">
        <f>20*135</f>
        <v>2700</v>
      </c>
      <c r="U160" s="11"/>
      <c r="V160" s="11"/>
      <c r="W160" s="11"/>
      <c r="X160" s="11"/>
      <c r="Y160" s="24">
        <f t="shared" si="48"/>
        <v>2700</v>
      </c>
      <c r="Z160" s="24">
        <f t="shared" si="38"/>
        <v>49950.864</v>
      </c>
      <c r="AA160" s="24"/>
      <c r="AB160" s="24">
        <f t="shared" si="51"/>
        <v>18973.584000000003</v>
      </c>
      <c r="AC160" s="26">
        <f t="shared" si="39"/>
        <v>9037.44</v>
      </c>
      <c r="AD160" s="8"/>
      <c r="AE160" s="8"/>
      <c r="AF160" s="26"/>
      <c r="AG160" s="24">
        <f t="shared" si="40"/>
        <v>45691.488</v>
      </c>
      <c r="AH160" s="24"/>
      <c r="AI160" s="24">
        <f t="shared" si="49"/>
        <v>441455.42800000013</v>
      </c>
    </row>
    <row r="161" spans="1:35" ht="15.75">
      <c r="A161" s="3" t="s">
        <v>112</v>
      </c>
      <c r="B161" s="4" t="s">
        <v>13</v>
      </c>
      <c r="C161" s="3" t="s">
        <v>110</v>
      </c>
      <c r="D161" s="18">
        <v>3243.9</v>
      </c>
      <c r="E161" s="11">
        <f t="shared" si="41"/>
        <v>14013.648000000001</v>
      </c>
      <c r="F161" s="11">
        <f t="shared" si="42"/>
        <v>46322.892</v>
      </c>
      <c r="G161" s="11">
        <f t="shared" si="43"/>
        <v>45933.623999999996</v>
      </c>
      <c r="H161" s="11">
        <f t="shared" si="44"/>
        <v>10120.968</v>
      </c>
      <c r="I161" s="11">
        <f t="shared" si="45"/>
        <v>2335.6079999999997</v>
      </c>
      <c r="J161" s="11">
        <f t="shared" si="46"/>
        <v>7006.8240000000005</v>
      </c>
      <c r="K161" s="11">
        <f>60*6*2</f>
        <v>720</v>
      </c>
      <c r="L161" s="8">
        <f>144.73*2</f>
        <v>289.46</v>
      </c>
      <c r="M161" s="8"/>
      <c r="N161" s="8"/>
      <c r="O161" s="16">
        <f t="shared" si="36"/>
        <v>8920.725</v>
      </c>
      <c r="P161" s="24">
        <f t="shared" si="47"/>
        <v>135663.74899999998</v>
      </c>
      <c r="Q161" s="24">
        <f t="shared" si="50"/>
        <v>51026.547000000006</v>
      </c>
      <c r="R161" s="26">
        <f t="shared" si="37"/>
        <v>119699.91</v>
      </c>
      <c r="S161" s="11">
        <f>210*120</f>
        <v>25200</v>
      </c>
      <c r="T161" s="11">
        <f>20*135</f>
        <v>2700</v>
      </c>
      <c r="U161" s="11"/>
      <c r="V161" s="11"/>
      <c r="W161" s="11"/>
      <c r="X161" s="11"/>
      <c r="Y161" s="24">
        <f t="shared" si="48"/>
        <v>27900</v>
      </c>
      <c r="Z161" s="24">
        <f t="shared" si="38"/>
        <v>50215.572</v>
      </c>
      <c r="AA161" s="24"/>
      <c r="AB161" s="24">
        <f t="shared" si="51"/>
        <v>19074.131999999998</v>
      </c>
      <c r="AC161" s="26">
        <f t="shared" si="39"/>
        <v>9085.320000000002</v>
      </c>
      <c r="AD161" s="8"/>
      <c r="AE161" s="8"/>
      <c r="AF161" s="26"/>
      <c r="AG161" s="24">
        <f t="shared" si="40"/>
        <v>45933.623999999996</v>
      </c>
      <c r="AH161" s="24"/>
      <c r="AI161" s="24">
        <f t="shared" si="49"/>
        <v>458598.854</v>
      </c>
    </row>
    <row r="162" spans="1:35" ht="15.75">
      <c r="A162" s="3" t="s">
        <v>112</v>
      </c>
      <c r="B162" s="4" t="s">
        <v>15</v>
      </c>
      <c r="C162" s="3" t="s">
        <v>2</v>
      </c>
      <c r="D162" s="18">
        <v>3253.4</v>
      </c>
      <c r="E162" s="11">
        <f t="shared" si="41"/>
        <v>14054.687999999998</v>
      </c>
      <c r="F162" s="11">
        <f t="shared" si="42"/>
        <v>46458.551999999996</v>
      </c>
      <c r="G162" s="11">
        <f t="shared" si="43"/>
        <v>46068.144</v>
      </c>
      <c r="H162" s="11">
        <f t="shared" si="44"/>
        <v>10150.608</v>
      </c>
      <c r="I162" s="11">
        <f t="shared" si="45"/>
        <v>2342.4480000000003</v>
      </c>
      <c r="J162" s="11">
        <f t="shared" si="46"/>
        <v>7027.343999999999</v>
      </c>
      <c r="K162" s="11">
        <f>60*6*2</f>
        <v>720</v>
      </c>
      <c r="L162" s="8">
        <f>144.73*70</f>
        <v>10131.099999999999</v>
      </c>
      <c r="M162" s="8"/>
      <c r="N162" s="8"/>
      <c r="O162" s="16">
        <f t="shared" si="36"/>
        <v>8946.85</v>
      </c>
      <c r="P162" s="24">
        <f t="shared" si="47"/>
        <v>145899.734</v>
      </c>
      <c r="Q162" s="24">
        <f t="shared" si="50"/>
        <v>51175.982</v>
      </c>
      <c r="R162" s="26">
        <f t="shared" si="37"/>
        <v>120050.46000000002</v>
      </c>
      <c r="S162" s="11"/>
      <c r="T162" s="11"/>
      <c r="U162" s="11"/>
      <c r="V162" s="11"/>
      <c r="W162" s="11"/>
      <c r="X162" s="11"/>
      <c r="Y162" s="24">
        <f t="shared" si="48"/>
        <v>0</v>
      </c>
      <c r="Z162" s="24">
        <f t="shared" si="38"/>
        <v>50362.632000000005</v>
      </c>
      <c r="AA162" s="24"/>
      <c r="AB162" s="24">
        <f t="shared" si="51"/>
        <v>19129.992</v>
      </c>
      <c r="AC162" s="26">
        <f t="shared" si="39"/>
        <v>9111.92</v>
      </c>
      <c r="AD162" s="8"/>
      <c r="AE162" s="8"/>
      <c r="AF162" s="26"/>
      <c r="AG162" s="24">
        <f t="shared" si="40"/>
        <v>46068.144</v>
      </c>
      <c r="AH162" s="24"/>
      <c r="AI162" s="24">
        <f t="shared" si="49"/>
        <v>441798.86400000006</v>
      </c>
    </row>
    <row r="163" spans="1:35" ht="15.75">
      <c r="A163" s="3" t="s">
        <v>112</v>
      </c>
      <c r="B163" s="4" t="s">
        <v>17</v>
      </c>
      <c r="C163" s="3" t="s">
        <v>2</v>
      </c>
      <c r="D163" s="18">
        <v>15643.7</v>
      </c>
      <c r="E163" s="11">
        <f t="shared" si="41"/>
        <v>67580.784</v>
      </c>
      <c r="F163" s="11">
        <f t="shared" si="42"/>
        <v>223392.03600000002</v>
      </c>
      <c r="G163" s="11">
        <f t="shared" si="43"/>
        <v>221514.792</v>
      </c>
      <c r="H163" s="11">
        <f t="shared" si="44"/>
        <v>48808.344000000005</v>
      </c>
      <c r="I163" s="11">
        <f t="shared" si="45"/>
        <v>11263.464</v>
      </c>
      <c r="J163" s="11">
        <f t="shared" si="46"/>
        <v>33790.392</v>
      </c>
      <c r="K163" s="11">
        <f>275*6*2</f>
        <v>3300</v>
      </c>
      <c r="L163" s="8">
        <f>144.79*297</f>
        <v>43002.63</v>
      </c>
      <c r="M163" s="8">
        <f>9*142.42*1.5</f>
        <v>1922.67</v>
      </c>
      <c r="N163" s="8"/>
      <c r="O163" s="16">
        <f t="shared" si="36"/>
        <v>43020.17500000001</v>
      </c>
      <c r="P163" s="24">
        <f t="shared" si="47"/>
        <v>697595.2870000001</v>
      </c>
      <c r="Q163" s="24">
        <f t="shared" si="50"/>
        <v>246075.401</v>
      </c>
      <c r="R163" s="26">
        <f t="shared" si="37"/>
        <v>577252.5300000001</v>
      </c>
      <c r="S163" s="11"/>
      <c r="T163" s="11"/>
      <c r="U163" s="11"/>
      <c r="V163" s="11"/>
      <c r="W163" s="11"/>
      <c r="X163" s="11"/>
      <c r="Y163" s="24">
        <f t="shared" si="48"/>
        <v>0</v>
      </c>
      <c r="Z163" s="24">
        <f t="shared" si="38"/>
        <v>242164.47600000002</v>
      </c>
      <c r="AA163" s="24">
        <f>D163*1.01*5+0.96*D163*7</f>
        <v>184126.349</v>
      </c>
      <c r="AB163" s="24">
        <f t="shared" si="51"/>
        <v>91984.956</v>
      </c>
      <c r="AC163" s="26">
        <f t="shared" si="39"/>
        <v>43804.76</v>
      </c>
      <c r="AD163" s="8">
        <v>259738.51</v>
      </c>
      <c r="AE163" s="8">
        <v>15641.45</v>
      </c>
      <c r="AF163" s="26">
        <f>SUM(AD163:AE163)</f>
        <v>275379.96</v>
      </c>
      <c r="AG163" s="24">
        <f t="shared" si="40"/>
        <v>221514.792</v>
      </c>
      <c r="AH163" s="24"/>
      <c r="AI163" s="24">
        <f t="shared" si="49"/>
        <v>2579898.5110000004</v>
      </c>
    </row>
    <row r="164" spans="1:35" ht="15.75">
      <c r="A164" s="3" t="s">
        <v>112</v>
      </c>
      <c r="B164" s="4" t="s">
        <v>21</v>
      </c>
      <c r="C164" s="3" t="s">
        <v>65</v>
      </c>
      <c r="D164" s="18">
        <v>3124</v>
      </c>
      <c r="E164" s="11">
        <f t="shared" si="41"/>
        <v>13495.679999999998</v>
      </c>
      <c r="F164" s="11">
        <f t="shared" si="42"/>
        <v>44610.72</v>
      </c>
      <c r="G164" s="11">
        <f t="shared" si="43"/>
        <v>44235.84</v>
      </c>
      <c r="H164" s="11">
        <f t="shared" si="44"/>
        <v>9746.880000000001</v>
      </c>
      <c r="I164" s="11">
        <f t="shared" si="45"/>
        <v>2249.2799999999997</v>
      </c>
      <c r="J164" s="11">
        <f t="shared" si="46"/>
        <v>6747.839999999999</v>
      </c>
      <c r="K164" s="11">
        <f>144*6</f>
        <v>864</v>
      </c>
      <c r="L164" s="8">
        <f>144.79*80</f>
        <v>11583.199999999999</v>
      </c>
      <c r="M164" s="8">
        <f>2*142.42*1.5</f>
        <v>427.26</v>
      </c>
      <c r="N164" s="8"/>
      <c r="O164" s="16">
        <f t="shared" si="36"/>
        <v>8591</v>
      </c>
      <c r="P164" s="24">
        <f t="shared" si="47"/>
        <v>142551.7</v>
      </c>
      <c r="Q164" s="24">
        <f t="shared" si="50"/>
        <v>49140.520000000004</v>
      </c>
      <c r="R164" s="26">
        <f t="shared" si="37"/>
        <v>115275.6</v>
      </c>
      <c r="S164" s="11"/>
      <c r="T164" s="11"/>
      <c r="U164" s="11"/>
      <c r="V164" s="11"/>
      <c r="W164" s="11"/>
      <c r="X164" s="11">
        <v>92200</v>
      </c>
      <c r="Y164" s="24">
        <f t="shared" si="48"/>
        <v>92200</v>
      </c>
      <c r="Z164" s="24">
        <f t="shared" si="38"/>
        <v>48359.520000000004</v>
      </c>
      <c r="AA164" s="24"/>
      <c r="AB164" s="24">
        <f t="shared" si="51"/>
        <v>18369.12</v>
      </c>
      <c r="AC164" s="26">
        <f t="shared" si="39"/>
        <v>8749.6</v>
      </c>
      <c r="AD164" s="8">
        <v>60208.18</v>
      </c>
      <c r="AE164" s="8">
        <v>3475.88</v>
      </c>
      <c r="AF164" s="26">
        <f>SUM(AD164:AE164)</f>
        <v>63684.06</v>
      </c>
      <c r="AG164" s="24">
        <f t="shared" si="40"/>
        <v>44235.84</v>
      </c>
      <c r="AH164" s="24"/>
      <c r="AI164" s="24">
        <f t="shared" si="49"/>
        <v>582565.9600000001</v>
      </c>
    </row>
    <row r="165" spans="1:35" ht="15.75">
      <c r="A165" s="3" t="s">
        <v>112</v>
      </c>
      <c r="B165" s="4" t="s">
        <v>21</v>
      </c>
      <c r="C165" s="3" t="s">
        <v>110</v>
      </c>
      <c r="D165" s="19">
        <v>3148.3</v>
      </c>
      <c r="E165" s="11">
        <f t="shared" si="41"/>
        <v>13600.655999999999</v>
      </c>
      <c r="F165" s="11">
        <f t="shared" si="42"/>
        <v>44957.724</v>
      </c>
      <c r="G165" s="11">
        <f t="shared" si="43"/>
        <v>44579.928</v>
      </c>
      <c r="H165" s="11">
        <f t="shared" si="44"/>
        <v>9822.696000000002</v>
      </c>
      <c r="I165" s="11">
        <f t="shared" si="45"/>
        <v>2266.776</v>
      </c>
      <c r="J165" s="11">
        <f t="shared" si="46"/>
        <v>6800.3279999999995</v>
      </c>
      <c r="K165" s="11">
        <f>108*6</f>
        <v>648</v>
      </c>
      <c r="L165" s="8">
        <f>144.79*62</f>
        <v>8976.98</v>
      </c>
      <c r="M165" s="8">
        <f>2*142.42*1.5</f>
        <v>427.26</v>
      </c>
      <c r="N165" s="8"/>
      <c r="O165" s="16">
        <f t="shared" si="36"/>
        <v>8657.825</v>
      </c>
      <c r="P165" s="24">
        <f t="shared" si="47"/>
        <v>140738.173</v>
      </c>
      <c r="Q165" s="24">
        <f t="shared" si="50"/>
        <v>49522.759000000005</v>
      </c>
      <c r="R165" s="26">
        <f t="shared" si="37"/>
        <v>116172.27000000002</v>
      </c>
      <c r="S165" s="11"/>
      <c r="T165" s="11"/>
      <c r="U165" s="11"/>
      <c r="V165" s="11"/>
      <c r="W165" s="11"/>
      <c r="X165" s="11">
        <v>57200</v>
      </c>
      <c r="Y165" s="24">
        <f t="shared" si="48"/>
        <v>57200</v>
      </c>
      <c r="Z165" s="24">
        <f t="shared" si="38"/>
        <v>48735.684</v>
      </c>
      <c r="AA165" s="24"/>
      <c r="AB165" s="24">
        <f t="shared" si="51"/>
        <v>18512.004</v>
      </c>
      <c r="AC165" s="26">
        <f t="shared" si="39"/>
        <v>8817.640000000001</v>
      </c>
      <c r="AD165" s="8">
        <v>60208.18</v>
      </c>
      <c r="AE165" s="8">
        <v>3475.88</v>
      </c>
      <c r="AF165" s="26">
        <f>SUM(AD165:AE165)</f>
        <v>63684.06</v>
      </c>
      <c r="AG165" s="24">
        <f t="shared" si="40"/>
        <v>44579.928</v>
      </c>
      <c r="AH165" s="24"/>
      <c r="AI165" s="24">
        <f t="shared" si="49"/>
        <v>547962.518</v>
      </c>
    </row>
    <row r="166" spans="1:35" ht="15.75">
      <c r="A166" s="3" t="s">
        <v>112</v>
      </c>
      <c r="B166" s="4" t="s">
        <v>21</v>
      </c>
      <c r="C166" s="3" t="s">
        <v>113</v>
      </c>
      <c r="D166" s="19">
        <v>1563.4</v>
      </c>
      <c r="E166" s="11">
        <f t="shared" si="41"/>
        <v>6753.887999999999</v>
      </c>
      <c r="F166" s="11">
        <f t="shared" si="42"/>
        <v>22325.352</v>
      </c>
      <c r="G166" s="11">
        <f t="shared" si="43"/>
        <v>22137.744</v>
      </c>
      <c r="H166" s="11">
        <f t="shared" si="44"/>
        <v>4877.808000000001</v>
      </c>
      <c r="I166" s="11">
        <f t="shared" si="45"/>
        <v>1125.6480000000001</v>
      </c>
      <c r="J166" s="11">
        <f t="shared" si="46"/>
        <v>3376.9439999999995</v>
      </c>
      <c r="K166" s="11">
        <f>72*6</f>
        <v>432</v>
      </c>
      <c r="L166" s="8">
        <f>144.79*42</f>
        <v>6081.179999999999</v>
      </c>
      <c r="M166" s="8">
        <f>1*142.42*1.5</f>
        <v>213.63</v>
      </c>
      <c r="N166" s="8"/>
      <c r="O166" s="16">
        <f t="shared" si="36"/>
        <v>4299.35</v>
      </c>
      <c r="P166" s="24">
        <f t="shared" si="47"/>
        <v>71623.54400000001</v>
      </c>
      <c r="Q166" s="24">
        <f t="shared" si="50"/>
        <v>24592.282000000003</v>
      </c>
      <c r="R166" s="26">
        <f t="shared" si="37"/>
        <v>57689.460000000014</v>
      </c>
      <c r="S166" s="11"/>
      <c r="T166" s="11"/>
      <c r="U166" s="11"/>
      <c r="V166" s="11"/>
      <c r="W166" s="11"/>
      <c r="X166" s="11">
        <v>128200</v>
      </c>
      <c r="Y166" s="24">
        <f t="shared" si="48"/>
        <v>128200</v>
      </c>
      <c r="Z166" s="24">
        <f t="shared" si="38"/>
        <v>24201.432000000004</v>
      </c>
      <c r="AA166" s="24"/>
      <c r="AB166" s="24">
        <f t="shared" si="51"/>
        <v>9192.792000000001</v>
      </c>
      <c r="AC166" s="26">
        <f t="shared" si="39"/>
        <v>4379.92</v>
      </c>
      <c r="AD166" s="8">
        <v>30104.09</v>
      </c>
      <c r="AE166" s="8">
        <v>1737.94</v>
      </c>
      <c r="AF166" s="26">
        <f>SUM(AD166:AE166)</f>
        <v>31842.03</v>
      </c>
      <c r="AG166" s="24">
        <f t="shared" si="40"/>
        <v>22137.744</v>
      </c>
      <c r="AH166" s="24"/>
      <c r="AI166" s="24">
        <f t="shared" si="49"/>
        <v>373859.2040000001</v>
      </c>
    </row>
    <row r="167" spans="1:35" ht="15.75">
      <c r="A167" s="3" t="s">
        <v>112</v>
      </c>
      <c r="B167" s="4" t="s">
        <v>83</v>
      </c>
      <c r="C167" s="3" t="s">
        <v>65</v>
      </c>
      <c r="D167" s="19">
        <v>17400.5</v>
      </c>
      <c r="E167" s="11">
        <f t="shared" si="41"/>
        <v>75170.15999999999</v>
      </c>
      <c r="F167" s="11">
        <f t="shared" si="42"/>
        <v>248479.13999999996</v>
      </c>
      <c r="G167" s="11">
        <f t="shared" si="43"/>
        <v>246391.08000000002</v>
      </c>
      <c r="H167" s="11">
        <f t="shared" si="44"/>
        <v>54289.56</v>
      </c>
      <c r="I167" s="11">
        <f t="shared" si="45"/>
        <v>12528.36</v>
      </c>
      <c r="J167" s="11">
        <f t="shared" si="46"/>
        <v>37585.079999999994</v>
      </c>
      <c r="K167" s="11">
        <f>358*6*2</f>
        <v>4296</v>
      </c>
      <c r="L167" s="8">
        <f>144.73*2</f>
        <v>289.46</v>
      </c>
      <c r="M167" s="8">
        <f>10*142.42*1.5</f>
        <v>2136.2999999999997</v>
      </c>
      <c r="N167" s="8"/>
      <c r="O167" s="16">
        <f t="shared" si="36"/>
        <v>47851.37500000001</v>
      </c>
      <c r="P167" s="24">
        <f t="shared" si="47"/>
        <v>729016.5149999999</v>
      </c>
      <c r="Q167" s="24">
        <f t="shared" si="50"/>
        <v>273709.865</v>
      </c>
      <c r="R167" s="26">
        <f t="shared" si="37"/>
        <v>642078.45</v>
      </c>
      <c r="S167" s="11">
        <f>150*120</f>
        <v>18000</v>
      </c>
      <c r="T167" s="11"/>
      <c r="U167" s="11"/>
      <c r="V167" s="11"/>
      <c r="W167" s="11"/>
      <c r="X167" s="11"/>
      <c r="Y167" s="24">
        <f t="shared" si="48"/>
        <v>18000</v>
      </c>
      <c r="Z167" s="24">
        <f t="shared" si="38"/>
        <v>269359.74</v>
      </c>
      <c r="AA167" s="24">
        <f>D167*1.01*5+0.96*D167*7</f>
        <v>204803.885</v>
      </c>
      <c r="AB167" s="24">
        <f t="shared" si="51"/>
        <v>102314.93999999999</v>
      </c>
      <c r="AC167" s="26">
        <f t="shared" si="39"/>
        <v>48723.80000000001</v>
      </c>
      <c r="AD167" s="8">
        <v>301040.89</v>
      </c>
      <c r="AE167" s="11">
        <v>17379.4</v>
      </c>
      <c r="AF167" s="26">
        <f>SUM(AD167:AE167)</f>
        <v>318420.29000000004</v>
      </c>
      <c r="AG167" s="24">
        <f t="shared" si="40"/>
        <v>246391.08000000002</v>
      </c>
      <c r="AH167" s="24"/>
      <c r="AI167" s="24">
        <f t="shared" si="49"/>
        <v>2852818.565</v>
      </c>
    </row>
    <row r="168" spans="1:35" ht="15.75">
      <c r="A168" s="3" t="s">
        <v>112</v>
      </c>
      <c r="B168" s="4" t="s">
        <v>83</v>
      </c>
      <c r="C168" s="3" t="s">
        <v>110</v>
      </c>
      <c r="D168" s="19">
        <v>3444</v>
      </c>
      <c r="E168" s="11">
        <f t="shared" si="41"/>
        <v>14878.079999999998</v>
      </c>
      <c r="F168" s="11">
        <f t="shared" si="42"/>
        <v>49180.31999999999</v>
      </c>
      <c r="G168" s="11">
        <f t="shared" si="43"/>
        <v>48767.03999999999</v>
      </c>
      <c r="H168" s="11">
        <f t="shared" si="44"/>
        <v>10745.28</v>
      </c>
      <c r="I168" s="11">
        <f t="shared" si="45"/>
        <v>2479.68</v>
      </c>
      <c r="J168" s="11">
        <f t="shared" si="46"/>
        <v>7439.039999999999</v>
      </c>
      <c r="K168" s="11">
        <f>75*6*2</f>
        <v>900</v>
      </c>
      <c r="L168" s="8">
        <f>144.79*87</f>
        <v>12596.73</v>
      </c>
      <c r="M168" s="8"/>
      <c r="N168" s="8"/>
      <c r="O168" s="16">
        <f t="shared" si="36"/>
        <v>9471</v>
      </c>
      <c r="P168" s="24">
        <f t="shared" si="47"/>
        <v>156457.16999999998</v>
      </c>
      <c r="Q168" s="24">
        <f t="shared" si="50"/>
        <v>54174.12</v>
      </c>
      <c r="R168" s="26">
        <f t="shared" si="37"/>
        <v>127083.6</v>
      </c>
      <c r="S168" s="11"/>
      <c r="T168" s="11"/>
      <c r="U168" s="11"/>
      <c r="V168" s="11"/>
      <c r="W168" s="11"/>
      <c r="X168" s="11">
        <v>88200</v>
      </c>
      <c r="Y168" s="24">
        <f t="shared" si="48"/>
        <v>88200</v>
      </c>
      <c r="Z168" s="24">
        <f t="shared" si="38"/>
        <v>53313.12</v>
      </c>
      <c r="AA168" s="24"/>
      <c r="AB168" s="24">
        <f t="shared" si="51"/>
        <v>20250.72</v>
      </c>
      <c r="AC168" s="26">
        <f t="shared" si="39"/>
        <v>9645.6</v>
      </c>
      <c r="AD168" s="8"/>
      <c r="AE168" s="8"/>
      <c r="AF168" s="26"/>
      <c r="AG168" s="24">
        <f t="shared" si="40"/>
        <v>48767.03999999999</v>
      </c>
      <c r="AH168" s="24"/>
      <c r="AI168" s="24">
        <f t="shared" si="49"/>
        <v>557891.37</v>
      </c>
    </row>
    <row r="169" spans="1:35" ht="15.75">
      <c r="A169" s="3" t="s">
        <v>112</v>
      </c>
      <c r="B169" s="4" t="s">
        <v>83</v>
      </c>
      <c r="C169" s="3" t="s">
        <v>113</v>
      </c>
      <c r="D169" s="18">
        <v>3498.3</v>
      </c>
      <c r="E169" s="11">
        <f t="shared" si="41"/>
        <v>15112.655999999999</v>
      </c>
      <c r="F169" s="11">
        <f t="shared" si="42"/>
        <v>49955.724</v>
      </c>
      <c r="G169" s="11">
        <f t="shared" si="43"/>
        <v>49535.928</v>
      </c>
      <c r="H169" s="11">
        <f t="shared" si="44"/>
        <v>10914.696000000002</v>
      </c>
      <c r="I169" s="11">
        <f t="shared" si="45"/>
        <v>2518.776</v>
      </c>
      <c r="J169" s="11">
        <f t="shared" si="46"/>
        <v>7556.3279999999995</v>
      </c>
      <c r="K169" s="11">
        <f>75*6*2</f>
        <v>900</v>
      </c>
      <c r="L169" s="8">
        <f>144.79*87</f>
        <v>12596.73</v>
      </c>
      <c r="M169" s="8"/>
      <c r="N169" s="8"/>
      <c r="O169" s="16">
        <f t="shared" si="36"/>
        <v>9620.325</v>
      </c>
      <c r="P169" s="24">
        <f t="shared" si="47"/>
        <v>158711.16300000003</v>
      </c>
      <c r="Q169" s="24">
        <f t="shared" si="50"/>
        <v>55028.259000000005</v>
      </c>
      <c r="R169" s="26">
        <f t="shared" si="37"/>
        <v>129087.27000000002</v>
      </c>
      <c r="S169" s="11"/>
      <c r="T169" s="11"/>
      <c r="U169" s="11"/>
      <c r="V169" s="11"/>
      <c r="W169" s="11"/>
      <c r="X169" s="11"/>
      <c r="Y169" s="24">
        <f t="shared" si="48"/>
        <v>0</v>
      </c>
      <c r="Z169" s="24">
        <f t="shared" si="38"/>
        <v>54153.68400000001</v>
      </c>
      <c r="AA169" s="24"/>
      <c r="AB169" s="24">
        <f t="shared" si="51"/>
        <v>20570.004</v>
      </c>
      <c r="AC169" s="26">
        <f t="shared" si="39"/>
        <v>9797.640000000001</v>
      </c>
      <c r="AD169" s="8"/>
      <c r="AE169" s="8"/>
      <c r="AF169" s="26"/>
      <c r="AG169" s="24">
        <f t="shared" si="40"/>
        <v>49535.928</v>
      </c>
      <c r="AH169" s="24"/>
      <c r="AI169" s="24">
        <f t="shared" si="49"/>
        <v>476883.9480000001</v>
      </c>
    </row>
    <row r="170" spans="1:35" ht="15.75">
      <c r="A170" s="3" t="s">
        <v>112</v>
      </c>
      <c r="B170" s="4" t="s">
        <v>114</v>
      </c>
      <c r="C170" s="3" t="s">
        <v>110</v>
      </c>
      <c r="D170" s="18">
        <v>14099.8</v>
      </c>
      <c r="E170" s="11">
        <f t="shared" si="41"/>
        <v>60911.136</v>
      </c>
      <c r="F170" s="11">
        <f t="shared" si="42"/>
        <v>201345.14399999997</v>
      </c>
      <c r="G170" s="11">
        <f t="shared" si="43"/>
        <v>199653.168</v>
      </c>
      <c r="H170" s="11">
        <f t="shared" si="44"/>
        <v>43991.376</v>
      </c>
      <c r="I170" s="11">
        <f t="shared" si="45"/>
        <v>10151.856</v>
      </c>
      <c r="J170" s="11">
        <f t="shared" si="46"/>
        <v>30455.568</v>
      </c>
      <c r="K170" s="11">
        <f>287*6*2</f>
        <v>3444</v>
      </c>
      <c r="L170" s="8">
        <f>144.73*2</f>
        <v>289.46</v>
      </c>
      <c r="M170" s="8">
        <f>8*142.42*1.5</f>
        <v>1709.04</v>
      </c>
      <c r="N170" s="8"/>
      <c r="O170" s="16">
        <f t="shared" si="36"/>
        <v>38774.450000000004</v>
      </c>
      <c r="P170" s="24">
        <f t="shared" si="47"/>
        <v>590725.1979999999</v>
      </c>
      <c r="Q170" s="24">
        <f t="shared" si="50"/>
        <v>221789.854</v>
      </c>
      <c r="R170" s="26">
        <f t="shared" si="37"/>
        <v>520282.61999999994</v>
      </c>
      <c r="S170" s="11">
        <f>165*120</f>
        <v>19800</v>
      </c>
      <c r="T170" s="11">
        <f>350*135</f>
        <v>47250</v>
      </c>
      <c r="U170" s="11"/>
      <c r="V170" s="11"/>
      <c r="W170" s="11"/>
      <c r="X170" s="11"/>
      <c r="Y170" s="24">
        <f t="shared" si="48"/>
        <v>67050</v>
      </c>
      <c r="Z170" s="24">
        <f t="shared" si="38"/>
        <v>218264.90399999998</v>
      </c>
      <c r="AA170" s="24">
        <f>D170*1.01*5+0.96*D170*7</f>
        <v>165954.64599999998</v>
      </c>
      <c r="AB170" s="24">
        <f t="shared" si="51"/>
        <v>82906.824</v>
      </c>
      <c r="AC170" s="26">
        <f t="shared" si="39"/>
        <v>39481.840000000004</v>
      </c>
      <c r="AD170" s="8">
        <v>240832.71</v>
      </c>
      <c r="AE170" s="8">
        <v>13903.52</v>
      </c>
      <c r="AF170" s="26">
        <f>SUM(AD170:AE170)</f>
        <v>254736.22999999998</v>
      </c>
      <c r="AG170" s="24">
        <f t="shared" si="40"/>
        <v>199653.168</v>
      </c>
      <c r="AH170" s="24"/>
      <c r="AI170" s="24">
        <f t="shared" si="49"/>
        <v>2360845.284</v>
      </c>
    </row>
    <row r="171" spans="1:35" ht="15.75">
      <c r="A171" s="3" t="s">
        <v>112</v>
      </c>
      <c r="B171" s="4" t="s">
        <v>27</v>
      </c>
      <c r="C171" s="3" t="s">
        <v>65</v>
      </c>
      <c r="D171" s="18">
        <v>2152.2</v>
      </c>
      <c r="E171" s="11">
        <f t="shared" si="41"/>
        <v>9297.503999999999</v>
      </c>
      <c r="F171" s="11">
        <f t="shared" si="42"/>
        <v>30733.415999999994</v>
      </c>
      <c r="G171" s="11">
        <f t="shared" si="43"/>
        <v>30475.151999999995</v>
      </c>
      <c r="H171" s="11">
        <f t="shared" si="44"/>
        <v>6714.864</v>
      </c>
      <c r="I171" s="11">
        <f t="shared" si="45"/>
        <v>1549.5839999999998</v>
      </c>
      <c r="J171" s="11">
        <f t="shared" si="46"/>
        <v>4648.7519999999995</v>
      </c>
      <c r="K171" s="11">
        <f>72*6</f>
        <v>432</v>
      </c>
      <c r="L171" s="8">
        <f>144.73*42</f>
        <v>6078.66</v>
      </c>
      <c r="M171" s="8">
        <f>1*142.42*1.5</f>
        <v>213.63</v>
      </c>
      <c r="N171" s="8"/>
      <c r="O171" s="16">
        <f t="shared" si="36"/>
        <v>5918.55</v>
      </c>
      <c r="P171" s="24">
        <f t="shared" si="47"/>
        <v>96062.112</v>
      </c>
      <c r="Q171" s="24">
        <f t="shared" si="50"/>
        <v>33854.106</v>
      </c>
      <c r="R171" s="26">
        <f t="shared" si="37"/>
        <v>79416.18</v>
      </c>
      <c r="S171" s="11"/>
      <c r="T171" s="11"/>
      <c r="U171" s="11"/>
      <c r="V171" s="11"/>
      <c r="W171" s="11"/>
      <c r="X171" s="11">
        <v>63300</v>
      </c>
      <c r="Y171" s="24">
        <f t="shared" si="48"/>
        <v>63300</v>
      </c>
      <c r="Z171" s="24">
        <f t="shared" si="38"/>
        <v>33316.056</v>
      </c>
      <c r="AA171" s="24"/>
      <c r="AB171" s="24">
        <f t="shared" si="51"/>
        <v>12654.936</v>
      </c>
      <c r="AC171" s="26">
        <f t="shared" si="39"/>
        <v>6028.5599999999995</v>
      </c>
      <c r="AD171" s="8">
        <v>30104.09</v>
      </c>
      <c r="AE171" s="8">
        <v>1737.94</v>
      </c>
      <c r="AF171" s="26">
        <f>SUM(AD171:AE171)</f>
        <v>31842.03</v>
      </c>
      <c r="AG171" s="24">
        <f t="shared" si="40"/>
        <v>30475.151999999995</v>
      </c>
      <c r="AH171" s="24"/>
      <c r="AI171" s="24">
        <f t="shared" si="49"/>
        <v>386949.132</v>
      </c>
    </row>
    <row r="172" spans="1:35" ht="15.75">
      <c r="A172" s="3" t="s">
        <v>112</v>
      </c>
      <c r="B172" s="4" t="s">
        <v>27</v>
      </c>
      <c r="C172" s="3" t="s">
        <v>110</v>
      </c>
      <c r="D172" s="18">
        <v>1580.5</v>
      </c>
      <c r="E172" s="11">
        <f t="shared" si="41"/>
        <v>6827.76</v>
      </c>
      <c r="F172" s="11">
        <f t="shared" si="42"/>
        <v>22569.539999999997</v>
      </c>
      <c r="G172" s="11">
        <f t="shared" si="43"/>
        <v>22379.88</v>
      </c>
      <c r="H172" s="11">
        <f t="shared" si="44"/>
        <v>4931.16</v>
      </c>
      <c r="I172" s="11">
        <f t="shared" si="45"/>
        <v>1137.96</v>
      </c>
      <c r="J172" s="11">
        <f t="shared" si="46"/>
        <v>3413.88</v>
      </c>
      <c r="K172" s="11">
        <f>72*6</f>
        <v>432</v>
      </c>
      <c r="L172" s="8">
        <f>144.73*42</f>
        <v>6078.66</v>
      </c>
      <c r="M172" s="8">
        <f>1*142.42*1.5</f>
        <v>213.63</v>
      </c>
      <c r="N172" s="8"/>
      <c r="O172" s="16">
        <f t="shared" si="36"/>
        <v>4346.375</v>
      </c>
      <c r="P172" s="24">
        <f t="shared" si="47"/>
        <v>72330.845</v>
      </c>
      <c r="Q172" s="24">
        <f t="shared" si="50"/>
        <v>24861.265000000003</v>
      </c>
      <c r="R172" s="26">
        <f t="shared" si="37"/>
        <v>58320.450000000004</v>
      </c>
      <c r="S172" s="11"/>
      <c r="T172" s="11"/>
      <c r="U172" s="11"/>
      <c r="V172" s="11"/>
      <c r="W172" s="11"/>
      <c r="X172" s="11"/>
      <c r="Y172" s="24">
        <f t="shared" si="48"/>
        <v>0</v>
      </c>
      <c r="Z172" s="24">
        <f t="shared" si="38"/>
        <v>24466.14</v>
      </c>
      <c r="AA172" s="24"/>
      <c r="AB172" s="24">
        <f t="shared" si="51"/>
        <v>9293.34</v>
      </c>
      <c r="AC172" s="26">
        <f t="shared" si="39"/>
        <v>4427.8</v>
      </c>
      <c r="AD172" s="8">
        <v>30104.09</v>
      </c>
      <c r="AE172" s="8">
        <v>1737.94</v>
      </c>
      <c r="AF172" s="26">
        <f>SUM(AD172:AE172)</f>
        <v>31842.03</v>
      </c>
      <c r="AG172" s="24">
        <f t="shared" si="40"/>
        <v>22379.88</v>
      </c>
      <c r="AH172" s="24"/>
      <c r="AI172" s="24">
        <f t="shared" si="49"/>
        <v>247921.75</v>
      </c>
    </row>
    <row r="173" spans="1:35" ht="15.75">
      <c r="A173" s="5" t="s">
        <v>112</v>
      </c>
      <c r="B173" s="5" t="s">
        <v>27</v>
      </c>
      <c r="C173" s="5" t="s">
        <v>113</v>
      </c>
      <c r="D173" s="18">
        <v>4137.9</v>
      </c>
      <c r="E173" s="11">
        <f t="shared" si="41"/>
        <v>17875.727999999996</v>
      </c>
      <c r="F173" s="11">
        <f t="shared" si="42"/>
        <v>59089.212</v>
      </c>
      <c r="G173" s="11">
        <f t="shared" si="43"/>
        <v>58592.664</v>
      </c>
      <c r="H173" s="11">
        <f t="shared" si="44"/>
        <v>12910.248</v>
      </c>
      <c r="I173" s="11">
        <f t="shared" si="45"/>
        <v>2979.2879999999996</v>
      </c>
      <c r="J173" s="11">
        <f t="shared" si="46"/>
        <v>8937.863999999998</v>
      </c>
      <c r="K173" s="11">
        <f>72*6*2</f>
        <v>864</v>
      </c>
      <c r="L173" s="8">
        <f>144.73*2</f>
        <v>289.46</v>
      </c>
      <c r="M173" s="8"/>
      <c r="N173" s="8"/>
      <c r="O173" s="16">
        <f t="shared" si="36"/>
        <v>11379.224999999999</v>
      </c>
      <c r="P173" s="24">
        <f t="shared" si="47"/>
        <v>172917.68899999998</v>
      </c>
      <c r="Q173" s="24">
        <f t="shared" si="50"/>
        <v>65089.167</v>
      </c>
      <c r="R173" s="26">
        <f t="shared" si="37"/>
        <v>152688.51</v>
      </c>
      <c r="S173" s="11"/>
      <c r="T173" s="11"/>
      <c r="U173" s="11"/>
      <c r="V173" s="11"/>
      <c r="W173" s="11"/>
      <c r="X173" s="11"/>
      <c r="Y173" s="24">
        <f t="shared" si="48"/>
        <v>0</v>
      </c>
      <c r="Z173" s="24">
        <f t="shared" si="38"/>
        <v>64054.691999999995</v>
      </c>
      <c r="AA173" s="24"/>
      <c r="AB173" s="24">
        <f t="shared" si="51"/>
        <v>24330.851999999995</v>
      </c>
      <c r="AC173" s="26">
        <f t="shared" si="39"/>
        <v>11588.519999999999</v>
      </c>
      <c r="AD173" s="8">
        <v>60208.18</v>
      </c>
      <c r="AE173" s="8">
        <v>3475.88</v>
      </c>
      <c r="AF173" s="26">
        <f>SUM(AD173:AE173)</f>
        <v>63684.06</v>
      </c>
      <c r="AG173" s="24">
        <f t="shared" si="40"/>
        <v>58592.664</v>
      </c>
      <c r="AH173" s="24"/>
      <c r="AI173" s="24">
        <f t="shared" si="49"/>
        <v>612946.154</v>
      </c>
    </row>
    <row r="174" spans="1:35" ht="15.75">
      <c r="A174" s="3" t="s">
        <v>112</v>
      </c>
      <c r="B174" s="4" t="s">
        <v>28</v>
      </c>
      <c r="C174" s="3" t="s">
        <v>113</v>
      </c>
      <c r="D174" s="18">
        <v>3468.1</v>
      </c>
      <c r="E174" s="11">
        <f t="shared" si="41"/>
        <v>14982.192</v>
      </c>
      <c r="F174" s="11">
        <f t="shared" si="42"/>
        <v>49524.46799999999</v>
      </c>
      <c r="G174" s="11">
        <f t="shared" si="43"/>
        <v>49108.295999999995</v>
      </c>
      <c r="H174" s="11">
        <f t="shared" si="44"/>
        <v>10820.472</v>
      </c>
      <c r="I174" s="11">
        <f t="shared" si="45"/>
        <v>2497.0319999999997</v>
      </c>
      <c r="J174" s="11">
        <f t="shared" si="46"/>
        <v>7491.096</v>
      </c>
      <c r="K174" s="11">
        <f>74*6*2</f>
        <v>888</v>
      </c>
      <c r="L174" s="8">
        <f>144.73*87</f>
        <v>12591.509999999998</v>
      </c>
      <c r="M174" s="8"/>
      <c r="N174" s="8"/>
      <c r="O174" s="16">
        <f t="shared" si="36"/>
        <v>9537.275000000001</v>
      </c>
      <c r="P174" s="24">
        <f t="shared" si="47"/>
        <v>157440.341</v>
      </c>
      <c r="Q174" s="24">
        <f t="shared" si="50"/>
        <v>54553.213</v>
      </c>
      <c r="R174" s="26">
        <f t="shared" si="37"/>
        <v>127972.89</v>
      </c>
      <c r="S174" s="11"/>
      <c r="T174" s="11"/>
      <c r="U174" s="11"/>
      <c r="V174" s="11"/>
      <c r="W174" s="11"/>
      <c r="X174" s="11">
        <v>50000</v>
      </c>
      <c r="Y174" s="24">
        <f t="shared" si="48"/>
        <v>50000</v>
      </c>
      <c r="Z174" s="24">
        <f t="shared" si="38"/>
        <v>53686.188</v>
      </c>
      <c r="AA174" s="24"/>
      <c r="AB174" s="24">
        <f t="shared" si="51"/>
        <v>20392.428</v>
      </c>
      <c r="AC174" s="26">
        <f t="shared" si="39"/>
        <v>9713.08</v>
      </c>
      <c r="AD174" s="8"/>
      <c r="AE174" s="8"/>
      <c r="AF174" s="26"/>
      <c r="AG174" s="24">
        <f t="shared" si="40"/>
        <v>49108.295999999995</v>
      </c>
      <c r="AH174" s="24"/>
      <c r="AI174" s="24">
        <f t="shared" si="49"/>
        <v>522866.43600000005</v>
      </c>
    </row>
    <row r="175" spans="1:35" ht="15.75">
      <c r="A175" s="3" t="s">
        <v>112</v>
      </c>
      <c r="B175" s="4" t="s">
        <v>115</v>
      </c>
      <c r="C175" s="3" t="s">
        <v>2</v>
      </c>
      <c r="D175" s="18">
        <v>3750.7</v>
      </c>
      <c r="E175" s="11">
        <f t="shared" si="41"/>
        <v>16203.024</v>
      </c>
      <c r="F175" s="11">
        <f t="shared" si="42"/>
        <v>53559.996</v>
      </c>
      <c r="G175" s="11">
        <f t="shared" si="43"/>
        <v>53109.91199999999</v>
      </c>
      <c r="H175" s="11">
        <f t="shared" si="44"/>
        <v>11702.184000000001</v>
      </c>
      <c r="I175" s="11">
        <f t="shared" si="45"/>
        <v>2700.504</v>
      </c>
      <c r="J175" s="11">
        <f t="shared" si="46"/>
        <v>8101.512</v>
      </c>
      <c r="K175" s="11">
        <f>140*6</f>
        <v>840</v>
      </c>
      <c r="L175" s="8">
        <f>144.73*80</f>
        <v>11578.4</v>
      </c>
      <c r="M175" s="8">
        <f>2*142.42*1.5</f>
        <v>427.26</v>
      </c>
      <c r="N175" s="8"/>
      <c r="O175" s="16">
        <f t="shared" si="36"/>
        <v>10314.425000000001</v>
      </c>
      <c r="P175" s="24">
        <f t="shared" si="47"/>
        <v>168537.21699999998</v>
      </c>
      <c r="Q175" s="24">
        <f t="shared" si="50"/>
        <v>58998.511</v>
      </c>
      <c r="R175" s="26">
        <f t="shared" si="37"/>
        <v>138400.83</v>
      </c>
      <c r="S175" s="11"/>
      <c r="T175" s="11"/>
      <c r="U175" s="11"/>
      <c r="V175" s="11"/>
      <c r="W175" s="11"/>
      <c r="X175" s="11">
        <v>101300</v>
      </c>
      <c r="Y175" s="24">
        <f t="shared" si="48"/>
        <v>101300</v>
      </c>
      <c r="Z175" s="24">
        <f t="shared" si="38"/>
        <v>58060.836</v>
      </c>
      <c r="AA175" s="24"/>
      <c r="AB175" s="24">
        <f t="shared" si="51"/>
        <v>22054.115999999998</v>
      </c>
      <c r="AC175" s="26">
        <f t="shared" si="39"/>
        <v>10504.359999999999</v>
      </c>
      <c r="AD175" s="8">
        <v>60208.18</v>
      </c>
      <c r="AE175" s="8">
        <v>3475.88</v>
      </c>
      <c r="AF175" s="26">
        <f>SUM(AD175:AE175)</f>
        <v>63684.06</v>
      </c>
      <c r="AG175" s="24">
        <f t="shared" si="40"/>
        <v>53109.91199999999</v>
      </c>
      <c r="AH175" s="24">
        <v>57500</v>
      </c>
      <c r="AI175" s="24">
        <f t="shared" si="49"/>
        <v>732149.842</v>
      </c>
    </row>
    <row r="176" spans="1:35" ht="15.75">
      <c r="A176" s="3" t="s">
        <v>112</v>
      </c>
      <c r="B176" s="4" t="s">
        <v>51</v>
      </c>
      <c r="C176" s="3" t="s">
        <v>65</v>
      </c>
      <c r="D176" s="18">
        <v>16013.7</v>
      </c>
      <c r="E176" s="11">
        <f t="shared" si="41"/>
        <v>69179.184</v>
      </c>
      <c r="F176" s="11">
        <f t="shared" si="42"/>
        <v>228675.636</v>
      </c>
      <c r="G176" s="11">
        <f t="shared" si="43"/>
        <v>226753.99200000003</v>
      </c>
      <c r="H176" s="11">
        <f t="shared" si="44"/>
        <v>49962.744</v>
      </c>
      <c r="I176" s="11">
        <f t="shared" si="45"/>
        <v>11529.864</v>
      </c>
      <c r="J176" s="11">
        <f t="shared" si="46"/>
        <v>34589.592</v>
      </c>
      <c r="K176" s="11">
        <f>323*6*2</f>
        <v>3876</v>
      </c>
      <c r="L176" s="8">
        <f>144.73*2</f>
        <v>289.46</v>
      </c>
      <c r="M176" s="8">
        <f>9*142.42*1.5</f>
        <v>1922.67</v>
      </c>
      <c r="N176" s="8"/>
      <c r="O176" s="16">
        <f t="shared" si="36"/>
        <v>44037.67500000001</v>
      </c>
      <c r="P176" s="24">
        <f t="shared" si="47"/>
        <v>670816.8169999999</v>
      </c>
      <c r="Q176" s="24">
        <f t="shared" si="50"/>
        <v>251895.50100000005</v>
      </c>
      <c r="R176" s="26">
        <f t="shared" si="37"/>
        <v>590905.53</v>
      </c>
      <c r="S176" s="11"/>
      <c r="T176" s="11"/>
      <c r="U176" s="11"/>
      <c r="V176" s="11"/>
      <c r="W176" s="11"/>
      <c r="X176" s="11">
        <v>194200</v>
      </c>
      <c r="Y176" s="24">
        <f t="shared" si="48"/>
        <v>194200</v>
      </c>
      <c r="Z176" s="24">
        <f t="shared" si="38"/>
        <v>247892.07600000003</v>
      </c>
      <c r="AA176" s="24">
        <f>D176*1.01*5+0.96*D176*7</f>
        <v>188481.249</v>
      </c>
      <c r="AB176" s="24">
        <f t="shared" si="51"/>
        <v>94160.55600000001</v>
      </c>
      <c r="AC176" s="26">
        <f t="shared" si="39"/>
        <v>44840.76</v>
      </c>
      <c r="AD176" s="8">
        <v>270936.8</v>
      </c>
      <c r="AE176" s="8">
        <v>15641.45</v>
      </c>
      <c r="AF176" s="26">
        <f>SUM(AD176:AE176)</f>
        <v>286578.25</v>
      </c>
      <c r="AG176" s="24">
        <f t="shared" si="40"/>
        <v>226753.99200000003</v>
      </c>
      <c r="AH176" s="24"/>
      <c r="AI176" s="24">
        <f t="shared" si="49"/>
        <v>2796524.7309999997</v>
      </c>
    </row>
    <row r="177" spans="1:35" ht="15.75">
      <c r="A177" s="3" t="s">
        <v>116</v>
      </c>
      <c r="B177" s="4" t="s">
        <v>44</v>
      </c>
      <c r="C177" s="3" t="s">
        <v>2</v>
      </c>
      <c r="D177" s="18">
        <v>5800.5</v>
      </c>
      <c r="E177" s="11">
        <f t="shared" si="41"/>
        <v>25058.159999999996</v>
      </c>
      <c r="F177" s="11">
        <f t="shared" si="42"/>
        <v>82831.13999999998</v>
      </c>
      <c r="G177" s="11">
        <f t="shared" si="43"/>
        <v>82135.07999999999</v>
      </c>
      <c r="H177" s="11">
        <f t="shared" si="44"/>
        <v>18097.56</v>
      </c>
      <c r="I177" s="11">
        <f t="shared" si="45"/>
        <v>4176.36</v>
      </c>
      <c r="J177" s="11">
        <f t="shared" si="46"/>
        <v>12529.079999999998</v>
      </c>
      <c r="K177" s="11">
        <f>119*6*2</f>
        <v>1428</v>
      </c>
      <c r="L177" s="8">
        <f>144.73*137</f>
        <v>19828.01</v>
      </c>
      <c r="M177" s="8"/>
      <c r="N177" s="8"/>
      <c r="O177" s="16">
        <f t="shared" si="36"/>
        <v>15951.375</v>
      </c>
      <c r="P177" s="24">
        <f t="shared" si="47"/>
        <v>262034.76499999996</v>
      </c>
      <c r="Q177" s="24">
        <f t="shared" si="50"/>
        <v>91241.865</v>
      </c>
      <c r="R177" s="26">
        <f t="shared" si="37"/>
        <v>214038.45</v>
      </c>
      <c r="S177" s="11"/>
      <c r="T177" s="11"/>
      <c r="U177" s="11"/>
      <c r="V177" s="11"/>
      <c r="W177" s="11"/>
      <c r="X177" s="11"/>
      <c r="Y177" s="24">
        <f t="shared" si="48"/>
        <v>0</v>
      </c>
      <c r="Z177" s="24">
        <f t="shared" si="38"/>
        <v>89791.74</v>
      </c>
      <c r="AA177" s="24"/>
      <c r="AB177" s="24">
        <f t="shared" si="51"/>
        <v>34106.94</v>
      </c>
      <c r="AC177" s="26">
        <f t="shared" si="39"/>
        <v>16243.800000000001</v>
      </c>
      <c r="AD177" s="8"/>
      <c r="AE177" s="8"/>
      <c r="AF177" s="26"/>
      <c r="AG177" s="24">
        <f t="shared" si="40"/>
        <v>82135.07999999999</v>
      </c>
      <c r="AH177" s="24">
        <v>57500</v>
      </c>
      <c r="AI177" s="24">
        <f t="shared" si="49"/>
        <v>847092.64</v>
      </c>
    </row>
    <row r="178" spans="1:35" ht="15.75">
      <c r="A178" s="5" t="s">
        <v>117</v>
      </c>
      <c r="B178" s="5" t="s">
        <v>118</v>
      </c>
      <c r="C178" s="5" t="s">
        <v>2</v>
      </c>
      <c r="D178" s="21">
        <v>94.8</v>
      </c>
      <c r="E178" s="11">
        <f t="shared" si="41"/>
        <v>409.536</v>
      </c>
      <c r="F178" s="11">
        <f t="shared" si="42"/>
        <v>1353.744</v>
      </c>
      <c r="G178" s="11">
        <f t="shared" si="43"/>
        <v>1342.368</v>
      </c>
      <c r="H178" s="11">
        <f t="shared" si="44"/>
        <v>295.776</v>
      </c>
      <c r="I178" s="11">
        <f t="shared" si="45"/>
        <v>68.256</v>
      </c>
      <c r="J178" s="11">
        <f t="shared" si="46"/>
        <v>204.768</v>
      </c>
      <c r="K178" s="11">
        <f>2*230</f>
        <v>460</v>
      </c>
      <c r="L178" s="8"/>
      <c r="M178" s="8"/>
      <c r="N178" s="8"/>
      <c r="O178" s="16">
        <f t="shared" si="36"/>
        <v>260.7</v>
      </c>
      <c r="P178" s="24">
        <f t="shared" si="47"/>
        <v>4395.148</v>
      </c>
      <c r="Q178" s="24"/>
      <c r="R178" s="26">
        <f t="shared" si="37"/>
        <v>3498.12</v>
      </c>
      <c r="S178" s="11"/>
      <c r="T178" s="11"/>
      <c r="U178" s="11"/>
      <c r="V178" s="11"/>
      <c r="W178" s="11"/>
      <c r="X178" s="11"/>
      <c r="Y178" s="24">
        <f t="shared" si="48"/>
        <v>0</v>
      </c>
      <c r="Z178" s="24">
        <f t="shared" si="38"/>
        <v>1467.504</v>
      </c>
      <c r="AA178" s="24"/>
      <c r="AB178" s="24">
        <f t="shared" si="51"/>
        <v>557.424</v>
      </c>
      <c r="AC178" s="26">
        <f t="shared" si="39"/>
        <v>267.84</v>
      </c>
      <c r="AD178" s="8"/>
      <c r="AE178" s="8"/>
      <c r="AF178" s="26"/>
      <c r="AG178" s="24">
        <f t="shared" si="40"/>
        <v>1342.368</v>
      </c>
      <c r="AH178" s="24"/>
      <c r="AI178" s="24">
        <f t="shared" si="49"/>
        <v>11528.404</v>
      </c>
    </row>
    <row r="179" spans="1:35" ht="15.75">
      <c r="A179" s="3" t="s">
        <v>119</v>
      </c>
      <c r="B179" s="4" t="s">
        <v>1</v>
      </c>
      <c r="C179" s="3" t="s">
        <v>2</v>
      </c>
      <c r="D179" s="18">
        <v>1557</v>
      </c>
      <c r="E179" s="11">
        <f t="shared" si="41"/>
        <v>6726.24</v>
      </c>
      <c r="F179" s="11">
        <f t="shared" si="42"/>
        <v>22233.96</v>
      </c>
      <c r="G179" s="11">
        <f t="shared" si="43"/>
        <v>22047.12</v>
      </c>
      <c r="H179" s="11">
        <f t="shared" si="44"/>
        <v>4857.84</v>
      </c>
      <c r="I179" s="11">
        <f t="shared" si="45"/>
        <v>1121.04</v>
      </c>
      <c r="J179" s="11">
        <f t="shared" si="46"/>
        <v>3363.12</v>
      </c>
      <c r="K179" s="11">
        <f>36*8*4+36*6*2</f>
        <v>1584</v>
      </c>
      <c r="L179" s="8">
        <f>144.73*44</f>
        <v>6368.12</v>
      </c>
      <c r="M179" s="8"/>
      <c r="N179" s="8">
        <f>939*20.77</f>
        <v>19503.03</v>
      </c>
      <c r="O179" s="16">
        <f t="shared" si="36"/>
        <v>4281.75</v>
      </c>
      <c r="P179" s="24">
        <f t="shared" si="47"/>
        <v>92086.21999999999</v>
      </c>
      <c r="Q179" s="24">
        <f>D179*1.27*5+D179*1.34*7</f>
        <v>24491.61</v>
      </c>
      <c r="R179" s="26">
        <f t="shared" si="37"/>
        <v>57453.3</v>
      </c>
      <c r="S179" s="11"/>
      <c r="T179" s="11"/>
      <c r="U179" s="11"/>
      <c r="V179" s="11"/>
      <c r="W179" s="11">
        <f>5*220</f>
        <v>1100</v>
      </c>
      <c r="X179" s="11"/>
      <c r="Y179" s="24">
        <f t="shared" si="48"/>
        <v>1100</v>
      </c>
      <c r="Z179" s="24">
        <f t="shared" si="38"/>
        <v>24102.36</v>
      </c>
      <c r="AA179" s="24"/>
      <c r="AB179" s="24">
        <f t="shared" si="51"/>
        <v>9155.16</v>
      </c>
      <c r="AC179" s="26">
        <f t="shared" si="39"/>
        <v>4362</v>
      </c>
      <c r="AD179" s="8"/>
      <c r="AE179" s="8"/>
      <c r="AF179" s="26"/>
      <c r="AG179" s="24">
        <f t="shared" si="40"/>
        <v>22047.12</v>
      </c>
      <c r="AH179" s="24">
        <v>57500</v>
      </c>
      <c r="AI179" s="24">
        <f t="shared" si="49"/>
        <v>292297.77</v>
      </c>
    </row>
    <row r="180" spans="1:35" ht="15.75">
      <c r="A180" s="3" t="s">
        <v>119</v>
      </c>
      <c r="B180" s="4" t="s">
        <v>120</v>
      </c>
      <c r="C180" s="3" t="s">
        <v>2</v>
      </c>
      <c r="D180" s="18">
        <v>1641.3</v>
      </c>
      <c r="E180" s="11">
        <f t="shared" si="41"/>
        <v>7090.415999999999</v>
      </c>
      <c r="F180" s="11">
        <f t="shared" si="42"/>
        <v>23437.764</v>
      </c>
      <c r="G180" s="11">
        <f t="shared" si="43"/>
        <v>23240.807999999997</v>
      </c>
      <c r="H180" s="11">
        <f t="shared" si="44"/>
        <v>5120.856</v>
      </c>
      <c r="I180" s="11">
        <f t="shared" si="45"/>
        <v>1181.7359999999999</v>
      </c>
      <c r="J180" s="11">
        <f t="shared" si="46"/>
        <v>3545.2079999999996</v>
      </c>
      <c r="K180" s="11">
        <f>19*6*2</f>
        <v>228</v>
      </c>
      <c r="L180" s="8"/>
      <c r="M180" s="8"/>
      <c r="N180" s="8"/>
      <c r="O180" s="16">
        <f t="shared" si="36"/>
        <v>4513.575</v>
      </c>
      <c r="P180" s="24">
        <f t="shared" si="47"/>
        <v>68358.363</v>
      </c>
      <c r="Q180" s="24">
        <f>D180*1.27*5+D180*1.34*7</f>
        <v>25817.649</v>
      </c>
      <c r="R180" s="26">
        <f t="shared" si="37"/>
        <v>60563.969999999994</v>
      </c>
      <c r="S180" s="11"/>
      <c r="T180" s="11"/>
      <c r="U180" s="11"/>
      <c r="V180" s="11"/>
      <c r="W180" s="11">
        <f>11*220</f>
        <v>2420</v>
      </c>
      <c r="X180" s="11"/>
      <c r="Y180" s="24">
        <f t="shared" si="48"/>
        <v>2420</v>
      </c>
      <c r="Z180" s="24">
        <f t="shared" si="38"/>
        <v>25407.324</v>
      </c>
      <c r="AA180" s="24"/>
      <c r="AB180" s="24">
        <f t="shared" si="51"/>
        <v>9650.844</v>
      </c>
      <c r="AC180" s="26">
        <f t="shared" si="39"/>
        <v>4598.039999999999</v>
      </c>
      <c r="AD180" s="8"/>
      <c r="AE180" s="8"/>
      <c r="AF180" s="26"/>
      <c r="AG180" s="24">
        <f t="shared" si="40"/>
        <v>23240.807999999997</v>
      </c>
      <c r="AH180" s="24"/>
      <c r="AI180" s="24">
        <f t="shared" si="49"/>
        <v>220056.998</v>
      </c>
    </row>
    <row r="181" spans="1:35" ht="15.75">
      <c r="A181" s="3" t="s">
        <v>119</v>
      </c>
      <c r="B181" s="4" t="s">
        <v>121</v>
      </c>
      <c r="C181" s="3" t="s">
        <v>2</v>
      </c>
      <c r="D181" s="18">
        <v>1295.9</v>
      </c>
      <c r="E181" s="11">
        <f t="shared" si="41"/>
        <v>5598.2880000000005</v>
      </c>
      <c r="F181" s="11">
        <f t="shared" si="42"/>
        <v>18505.452</v>
      </c>
      <c r="G181" s="11">
        <f t="shared" si="43"/>
        <v>18349.944</v>
      </c>
      <c r="H181" s="11">
        <f t="shared" si="44"/>
        <v>4043.2080000000005</v>
      </c>
      <c r="I181" s="11">
        <f t="shared" si="45"/>
        <v>933.048</v>
      </c>
      <c r="J181" s="11">
        <f t="shared" si="46"/>
        <v>2799.1440000000002</v>
      </c>
      <c r="K181" s="11">
        <f>32*8*4+32*6*2</f>
        <v>1408</v>
      </c>
      <c r="L181" s="8"/>
      <c r="M181" s="8"/>
      <c r="N181" s="8"/>
      <c r="O181" s="16">
        <f t="shared" si="36"/>
        <v>3563.7250000000004</v>
      </c>
      <c r="P181" s="24">
        <f t="shared" si="47"/>
        <v>55200.809</v>
      </c>
      <c r="Q181" s="24">
        <f>D181*1.27*5+D181*1.34*7</f>
        <v>20384.507</v>
      </c>
      <c r="R181" s="26">
        <f t="shared" si="37"/>
        <v>47818.71000000001</v>
      </c>
      <c r="S181" s="11">
        <f>20*700</f>
        <v>14000</v>
      </c>
      <c r="T181" s="11"/>
      <c r="U181" s="11"/>
      <c r="V181" s="11">
        <f>112*150</f>
        <v>16800</v>
      </c>
      <c r="W181" s="11">
        <f>10*220</f>
        <v>2200</v>
      </c>
      <c r="X181" s="11"/>
      <c r="Y181" s="24">
        <f t="shared" si="48"/>
        <v>33000</v>
      </c>
      <c r="Z181" s="24">
        <f t="shared" si="38"/>
        <v>20060.532000000003</v>
      </c>
      <c r="AA181" s="24"/>
      <c r="AB181" s="24">
        <f t="shared" si="51"/>
        <v>7619.892</v>
      </c>
      <c r="AC181" s="26">
        <f t="shared" si="39"/>
        <v>3630.92</v>
      </c>
      <c r="AD181" s="8"/>
      <c r="AE181" s="8"/>
      <c r="AF181" s="26"/>
      <c r="AG181" s="24">
        <f t="shared" si="40"/>
        <v>18349.944</v>
      </c>
      <c r="AH181" s="24"/>
      <c r="AI181" s="24">
        <f t="shared" si="49"/>
        <v>206065.314</v>
      </c>
    </row>
    <row r="182" spans="1:35" ht="15.75">
      <c r="A182" s="3" t="s">
        <v>119</v>
      </c>
      <c r="B182" s="4" t="s">
        <v>122</v>
      </c>
      <c r="C182" s="3" t="s">
        <v>2</v>
      </c>
      <c r="D182" s="18">
        <v>968.2</v>
      </c>
      <c r="E182" s="11">
        <f t="shared" si="41"/>
        <v>4182.624</v>
      </c>
      <c r="F182" s="11">
        <f t="shared" si="42"/>
        <v>13825.895999999999</v>
      </c>
      <c r="G182" s="11">
        <f t="shared" si="43"/>
        <v>13709.712</v>
      </c>
      <c r="H182" s="11">
        <f t="shared" si="44"/>
        <v>3020.7840000000006</v>
      </c>
      <c r="I182" s="11">
        <f t="shared" si="45"/>
        <v>697.104</v>
      </c>
      <c r="J182" s="11">
        <f t="shared" si="46"/>
        <v>2091.312</v>
      </c>
      <c r="K182" s="11">
        <f>24*8*4+24*6*2</f>
        <v>1056</v>
      </c>
      <c r="L182" s="8">
        <f>144.73*30</f>
        <v>4341.9</v>
      </c>
      <c r="M182" s="8"/>
      <c r="N182" s="8"/>
      <c r="O182" s="16">
        <f t="shared" si="36"/>
        <v>2662.5500000000006</v>
      </c>
      <c r="P182" s="24">
        <f t="shared" si="47"/>
        <v>45587.882</v>
      </c>
      <c r="Q182" s="24"/>
      <c r="R182" s="26">
        <f t="shared" si="37"/>
        <v>35726.58</v>
      </c>
      <c r="S182" s="11"/>
      <c r="T182" s="11"/>
      <c r="U182" s="11"/>
      <c r="V182" s="11"/>
      <c r="W182" s="11">
        <f>9*220</f>
        <v>1980</v>
      </c>
      <c r="X182" s="11"/>
      <c r="Y182" s="24">
        <f t="shared" si="48"/>
        <v>1980</v>
      </c>
      <c r="Z182" s="24">
        <f t="shared" si="38"/>
        <v>14987.736</v>
      </c>
      <c r="AA182" s="24"/>
      <c r="AB182" s="24">
        <f t="shared" si="51"/>
        <v>5693.016</v>
      </c>
      <c r="AC182" s="26">
        <f t="shared" si="39"/>
        <v>2713.36</v>
      </c>
      <c r="AD182" s="8"/>
      <c r="AE182" s="8"/>
      <c r="AF182" s="26"/>
      <c r="AG182" s="24">
        <f t="shared" si="40"/>
        <v>13709.712</v>
      </c>
      <c r="AH182" s="24"/>
      <c r="AI182" s="24">
        <f t="shared" si="49"/>
        <v>120398.28600000001</v>
      </c>
    </row>
    <row r="183" spans="1:35" ht="15.75">
      <c r="A183" s="3" t="s">
        <v>119</v>
      </c>
      <c r="B183" s="4" t="s">
        <v>34</v>
      </c>
      <c r="C183" s="3" t="s">
        <v>2</v>
      </c>
      <c r="D183" s="18">
        <v>5302.8</v>
      </c>
      <c r="E183" s="11">
        <f t="shared" si="41"/>
        <v>22908.096</v>
      </c>
      <c r="F183" s="11">
        <f t="shared" si="42"/>
        <v>75723.984</v>
      </c>
      <c r="G183" s="11">
        <f t="shared" si="43"/>
        <v>75087.648</v>
      </c>
      <c r="H183" s="11">
        <f t="shared" si="44"/>
        <v>16544.736</v>
      </c>
      <c r="I183" s="11">
        <f t="shared" si="45"/>
        <v>3818.016</v>
      </c>
      <c r="J183" s="11">
        <f t="shared" si="46"/>
        <v>11454.048</v>
      </c>
      <c r="K183" s="11">
        <f>120*6*2</f>
        <v>1440</v>
      </c>
      <c r="L183" s="8">
        <f>144.73*3</f>
        <v>434.18999999999994</v>
      </c>
      <c r="M183" s="8"/>
      <c r="N183" s="8"/>
      <c r="O183" s="16">
        <f t="shared" si="36"/>
        <v>14582.700000000003</v>
      </c>
      <c r="P183" s="24">
        <f t="shared" si="47"/>
        <v>221993.41800000003</v>
      </c>
      <c r="Q183" s="24">
        <f aca="true" t="shared" si="52" ref="Q183:Q192">D183*1.27*5+D183*1.34*7</f>
        <v>83413.044</v>
      </c>
      <c r="R183" s="26">
        <f t="shared" si="37"/>
        <v>195673.32000000004</v>
      </c>
      <c r="S183" s="11"/>
      <c r="T183" s="11"/>
      <c r="U183" s="11"/>
      <c r="V183" s="11"/>
      <c r="W183" s="11"/>
      <c r="X183" s="11"/>
      <c r="Y183" s="24">
        <f t="shared" si="48"/>
        <v>0</v>
      </c>
      <c r="Z183" s="24">
        <f t="shared" si="38"/>
        <v>82087.344</v>
      </c>
      <c r="AA183" s="24"/>
      <c r="AB183" s="24">
        <f t="shared" si="51"/>
        <v>31180.464</v>
      </c>
      <c r="AC183" s="26">
        <f t="shared" si="39"/>
        <v>14850.240000000002</v>
      </c>
      <c r="AD183" s="8"/>
      <c r="AE183" s="8"/>
      <c r="AF183" s="26"/>
      <c r="AG183" s="24">
        <f t="shared" si="40"/>
        <v>75087.648</v>
      </c>
      <c r="AH183" s="24"/>
      <c r="AI183" s="24">
        <f t="shared" si="49"/>
        <v>704285.4780000002</v>
      </c>
    </row>
    <row r="184" spans="1:35" ht="15.75">
      <c r="A184" s="3" t="s">
        <v>119</v>
      </c>
      <c r="B184" s="4" t="s">
        <v>32</v>
      </c>
      <c r="C184" s="3" t="s">
        <v>2</v>
      </c>
      <c r="D184" s="18">
        <v>5058.2</v>
      </c>
      <c r="E184" s="11">
        <f t="shared" si="41"/>
        <v>21851.424</v>
      </c>
      <c r="F184" s="11">
        <f t="shared" si="42"/>
        <v>72231.09599999999</v>
      </c>
      <c r="G184" s="11">
        <f t="shared" si="43"/>
        <v>71624.112</v>
      </c>
      <c r="H184" s="11">
        <f t="shared" si="44"/>
        <v>15781.584</v>
      </c>
      <c r="I184" s="11">
        <f t="shared" si="45"/>
        <v>3641.9039999999995</v>
      </c>
      <c r="J184" s="11">
        <f t="shared" si="46"/>
        <v>10925.712</v>
      </c>
      <c r="K184" s="11">
        <f>107*8+107*6*2</f>
        <v>2140</v>
      </c>
      <c r="L184" s="8">
        <f>144.73*3</f>
        <v>434.18999999999994</v>
      </c>
      <c r="M184" s="8"/>
      <c r="N184" s="8"/>
      <c r="O184" s="16">
        <f t="shared" si="36"/>
        <v>13910.050000000001</v>
      </c>
      <c r="P184" s="24">
        <f t="shared" si="47"/>
        <v>212540.072</v>
      </c>
      <c r="Q184" s="24">
        <f t="shared" si="52"/>
        <v>79565.486</v>
      </c>
      <c r="R184" s="26">
        <f t="shared" si="37"/>
        <v>186647.58</v>
      </c>
      <c r="S184" s="11"/>
      <c r="T184" s="11"/>
      <c r="U184" s="11"/>
      <c r="V184" s="11"/>
      <c r="W184" s="11"/>
      <c r="X184" s="11"/>
      <c r="Y184" s="24">
        <f t="shared" si="48"/>
        <v>0</v>
      </c>
      <c r="Z184" s="24">
        <f t="shared" si="38"/>
        <v>78300.93599999999</v>
      </c>
      <c r="AA184" s="24"/>
      <c r="AB184" s="24">
        <f t="shared" si="51"/>
        <v>29742.216</v>
      </c>
      <c r="AC184" s="26">
        <f t="shared" si="39"/>
        <v>14165.359999999999</v>
      </c>
      <c r="AD184" s="8"/>
      <c r="AE184" s="8"/>
      <c r="AF184" s="26"/>
      <c r="AG184" s="24">
        <f t="shared" si="40"/>
        <v>71624.112</v>
      </c>
      <c r="AH184" s="24">
        <v>57500</v>
      </c>
      <c r="AI184" s="24">
        <f t="shared" si="49"/>
        <v>730085.7619999999</v>
      </c>
    </row>
    <row r="185" spans="1:35" ht="15.75">
      <c r="A185" s="3" t="s">
        <v>119</v>
      </c>
      <c r="B185" s="4" t="s">
        <v>123</v>
      </c>
      <c r="C185" s="3" t="s">
        <v>2</v>
      </c>
      <c r="D185" s="18">
        <v>5594</v>
      </c>
      <c r="E185" s="11">
        <f t="shared" si="41"/>
        <v>24166.079999999998</v>
      </c>
      <c r="F185" s="11">
        <f t="shared" si="42"/>
        <v>79882.31999999999</v>
      </c>
      <c r="G185" s="11">
        <f t="shared" si="43"/>
        <v>79211.04000000001</v>
      </c>
      <c r="H185" s="11">
        <f t="shared" si="44"/>
        <v>17453.28</v>
      </c>
      <c r="I185" s="11">
        <f t="shared" si="45"/>
        <v>4027.68</v>
      </c>
      <c r="J185" s="11">
        <f t="shared" si="46"/>
        <v>12083.039999999999</v>
      </c>
      <c r="K185" s="11">
        <f>105*8*4+105*6*2</f>
        <v>4620</v>
      </c>
      <c r="L185" s="8">
        <f>144.73*119</f>
        <v>17222.87</v>
      </c>
      <c r="M185" s="8"/>
      <c r="N185" s="8"/>
      <c r="O185" s="16">
        <f t="shared" si="36"/>
        <v>15383.500000000002</v>
      </c>
      <c r="P185" s="24">
        <f t="shared" si="47"/>
        <v>254049.81</v>
      </c>
      <c r="Q185" s="24">
        <f t="shared" si="52"/>
        <v>87993.62</v>
      </c>
      <c r="R185" s="26">
        <f t="shared" si="37"/>
        <v>206418.6</v>
      </c>
      <c r="S185" s="11"/>
      <c r="T185" s="11"/>
      <c r="U185" s="11"/>
      <c r="V185" s="11"/>
      <c r="W185" s="11"/>
      <c r="X185" s="11"/>
      <c r="Y185" s="24">
        <f t="shared" si="48"/>
        <v>0</v>
      </c>
      <c r="Z185" s="24">
        <f t="shared" si="38"/>
        <v>86595.12</v>
      </c>
      <c r="AA185" s="24"/>
      <c r="AB185" s="24">
        <f t="shared" si="51"/>
        <v>32892.72</v>
      </c>
      <c r="AC185" s="26">
        <f t="shared" si="39"/>
        <v>15665.599999999999</v>
      </c>
      <c r="AD185" s="8">
        <v>87512.62</v>
      </c>
      <c r="AE185" s="8">
        <v>5213.82</v>
      </c>
      <c r="AF185" s="26">
        <f>SUM(AD185:AE185)</f>
        <v>92726.44</v>
      </c>
      <c r="AG185" s="24">
        <f t="shared" si="40"/>
        <v>79211.04000000001</v>
      </c>
      <c r="AH185" s="24"/>
      <c r="AI185" s="24">
        <f t="shared" si="49"/>
        <v>855552.95</v>
      </c>
    </row>
    <row r="186" spans="1:35" ht="15.75">
      <c r="A186" s="3" t="s">
        <v>119</v>
      </c>
      <c r="B186" s="4" t="s">
        <v>124</v>
      </c>
      <c r="C186" s="3" t="s">
        <v>2</v>
      </c>
      <c r="D186" s="18">
        <v>3318.2</v>
      </c>
      <c r="E186" s="11">
        <f t="shared" si="41"/>
        <v>14334.624</v>
      </c>
      <c r="F186" s="11">
        <f t="shared" si="42"/>
        <v>47383.89599999999</v>
      </c>
      <c r="G186" s="11">
        <f t="shared" si="43"/>
        <v>46985.712</v>
      </c>
      <c r="H186" s="11">
        <f t="shared" si="44"/>
        <v>10352.784</v>
      </c>
      <c r="I186" s="11">
        <f t="shared" si="45"/>
        <v>2389.104</v>
      </c>
      <c r="J186" s="11">
        <f t="shared" si="46"/>
        <v>7167.312</v>
      </c>
      <c r="K186" s="11">
        <f>69*8*4+69*6*2</f>
        <v>3036</v>
      </c>
      <c r="L186" s="8">
        <f>144.73*3</f>
        <v>434.18999999999994</v>
      </c>
      <c r="M186" s="8"/>
      <c r="N186" s="8"/>
      <c r="O186" s="16">
        <f t="shared" si="36"/>
        <v>9125.05</v>
      </c>
      <c r="P186" s="24">
        <f t="shared" si="47"/>
        <v>141208.672</v>
      </c>
      <c r="Q186" s="24">
        <f t="shared" si="52"/>
        <v>52195.286</v>
      </c>
      <c r="R186" s="26">
        <f t="shared" si="37"/>
        <v>122441.57999999999</v>
      </c>
      <c r="S186" s="11"/>
      <c r="T186" s="11"/>
      <c r="U186" s="11"/>
      <c r="V186" s="11"/>
      <c r="W186" s="11"/>
      <c r="X186" s="11"/>
      <c r="Y186" s="24">
        <f t="shared" si="48"/>
        <v>0</v>
      </c>
      <c r="Z186" s="24">
        <f t="shared" si="38"/>
        <v>51365.736000000004</v>
      </c>
      <c r="AA186" s="24"/>
      <c r="AB186" s="24">
        <f t="shared" si="51"/>
        <v>19511.016</v>
      </c>
      <c r="AC186" s="26">
        <f t="shared" si="39"/>
        <v>9293.359999999999</v>
      </c>
      <c r="AD186" s="8"/>
      <c r="AE186" s="8"/>
      <c r="AF186" s="26"/>
      <c r="AG186" s="24">
        <f t="shared" si="40"/>
        <v>46985.712</v>
      </c>
      <c r="AH186" s="24"/>
      <c r="AI186" s="24">
        <f t="shared" si="49"/>
        <v>443001.36199999996</v>
      </c>
    </row>
    <row r="187" spans="1:35" ht="15.75">
      <c r="A187" s="3" t="s">
        <v>119</v>
      </c>
      <c r="B187" s="4" t="s">
        <v>70</v>
      </c>
      <c r="C187" s="3" t="s">
        <v>2</v>
      </c>
      <c r="D187" s="18">
        <v>2611.4</v>
      </c>
      <c r="E187" s="11">
        <f t="shared" si="41"/>
        <v>11281.248</v>
      </c>
      <c r="F187" s="11">
        <f t="shared" si="42"/>
        <v>37290.792</v>
      </c>
      <c r="G187" s="11">
        <f t="shared" si="43"/>
        <v>36977.424</v>
      </c>
      <c r="H187" s="11">
        <f t="shared" si="44"/>
        <v>8147.568000000001</v>
      </c>
      <c r="I187" s="11">
        <f t="shared" si="45"/>
        <v>1880.208</v>
      </c>
      <c r="J187" s="11">
        <f t="shared" si="46"/>
        <v>5640.624</v>
      </c>
      <c r="K187" s="11">
        <f>64*6*2</f>
        <v>768</v>
      </c>
      <c r="L187" s="8">
        <f>144.73*74</f>
        <v>10710.019999999999</v>
      </c>
      <c r="M187" s="8"/>
      <c r="N187" s="8"/>
      <c r="O187" s="16">
        <f t="shared" si="36"/>
        <v>7181.350000000001</v>
      </c>
      <c r="P187" s="24">
        <f t="shared" si="47"/>
        <v>119877.23400000001</v>
      </c>
      <c r="Q187" s="24">
        <f t="shared" si="52"/>
        <v>41077.322</v>
      </c>
      <c r="R187" s="26">
        <f t="shared" si="37"/>
        <v>96360.66</v>
      </c>
      <c r="S187" s="11"/>
      <c r="T187" s="11"/>
      <c r="U187" s="11"/>
      <c r="V187" s="11"/>
      <c r="W187" s="11"/>
      <c r="X187" s="11"/>
      <c r="Y187" s="24">
        <f t="shared" si="48"/>
        <v>0</v>
      </c>
      <c r="Z187" s="24">
        <f t="shared" si="38"/>
        <v>40424.472</v>
      </c>
      <c r="AA187" s="24"/>
      <c r="AB187" s="24">
        <f t="shared" si="51"/>
        <v>15355.032</v>
      </c>
      <c r="AC187" s="26">
        <f t="shared" si="39"/>
        <v>7314.320000000001</v>
      </c>
      <c r="AD187" s="8"/>
      <c r="AE187" s="8"/>
      <c r="AF187" s="26"/>
      <c r="AG187" s="24">
        <f t="shared" si="40"/>
        <v>36977.424</v>
      </c>
      <c r="AH187" s="24"/>
      <c r="AI187" s="24">
        <f t="shared" si="49"/>
        <v>357386.46400000004</v>
      </c>
    </row>
    <row r="188" spans="1:35" ht="15.75">
      <c r="A188" s="3" t="s">
        <v>119</v>
      </c>
      <c r="B188" s="4" t="s">
        <v>80</v>
      </c>
      <c r="C188" s="3" t="s">
        <v>65</v>
      </c>
      <c r="D188" s="18">
        <v>6190.9</v>
      </c>
      <c r="E188" s="11">
        <f t="shared" si="41"/>
        <v>26744.687999999995</v>
      </c>
      <c r="F188" s="11">
        <f t="shared" si="42"/>
        <v>88406.052</v>
      </c>
      <c r="G188" s="11">
        <f t="shared" si="43"/>
        <v>87663.14399999999</v>
      </c>
      <c r="H188" s="11">
        <f t="shared" si="44"/>
        <v>19315.608</v>
      </c>
      <c r="I188" s="11">
        <f t="shared" si="45"/>
        <v>4457.447999999999</v>
      </c>
      <c r="J188" s="11">
        <f t="shared" si="46"/>
        <v>13372.343999999997</v>
      </c>
      <c r="K188" s="11">
        <f>128*8+128*6*2</f>
        <v>2560</v>
      </c>
      <c r="L188" s="8">
        <f>144.73*2</f>
        <v>289.46</v>
      </c>
      <c r="M188" s="8"/>
      <c r="N188" s="8"/>
      <c r="O188" s="16">
        <f t="shared" si="36"/>
        <v>17024.975</v>
      </c>
      <c r="P188" s="24">
        <f t="shared" si="47"/>
        <v>259833.71899999998</v>
      </c>
      <c r="Q188" s="24">
        <f t="shared" si="52"/>
        <v>97382.857</v>
      </c>
      <c r="R188" s="26">
        <f t="shared" si="37"/>
        <v>228444.20999999996</v>
      </c>
      <c r="S188" s="11"/>
      <c r="T188" s="11"/>
      <c r="U188" s="11"/>
      <c r="V188" s="11"/>
      <c r="W188" s="11"/>
      <c r="X188" s="11"/>
      <c r="Y188" s="24">
        <f t="shared" si="48"/>
        <v>0</v>
      </c>
      <c r="Z188" s="24">
        <f t="shared" si="38"/>
        <v>95835.132</v>
      </c>
      <c r="AA188" s="24"/>
      <c r="AB188" s="24">
        <f t="shared" si="51"/>
        <v>36402.492</v>
      </c>
      <c r="AC188" s="26">
        <f t="shared" si="39"/>
        <v>17336.920000000002</v>
      </c>
      <c r="AD188" s="8"/>
      <c r="AE188" s="8"/>
      <c r="AF188" s="26"/>
      <c r="AG188" s="24">
        <f t="shared" si="40"/>
        <v>87663.14399999999</v>
      </c>
      <c r="AH188" s="24"/>
      <c r="AI188" s="24">
        <f t="shared" si="49"/>
        <v>822898.4739999999</v>
      </c>
    </row>
    <row r="189" spans="1:35" ht="15.75">
      <c r="A189" s="3" t="s">
        <v>119</v>
      </c>
      <c r="B189" s="4" t="s">
        <v>39</v>
      </c>
      <c r="C189" s="3" t="s">
        <v>2</v>
      </c>
      <c r="D189" s="18">
        <v>4987.6</v>
      </c>
      <c r="E189" s="11">
        <f t="shared" si="41"/>
        <v>21546.432</v>
      </c>
      <c r="F189" s="11">
        <f t="shared" si="42"/>
        <v>71222.92800000001</v>
      </c>
      <c r="G189" s="11">
        <f t="shared" si="43"/>
        <v>70624.416</v>
      </c>
      <c r="H189" s="11">
        <f t="shared" si="44"/>
        <v>15561.312000000002</v>
      </c>
      <c r="I189" s="11">
        <f t="shared" si="45"/>
        <v>3591.072</v>
      </c>
      <c r="J189" s="11">
        <f t="shared" si="46"/>
        <v>10773.216</v>
      </c>
      <c r="K189" s="11">
        <f>104*8+104*6*2</f>
        <v>2080</v>
      </c>
      <c r="L189" s="8">
        <f>144.73*2</f>
        <v>289.46</v>
      </c>
      <c r="M189" s="8"/>
      <c r="N189" s="8"/>
      <c r="O189" s="16">
        <f t="shared" si="36"/>
        <v>13715.900000000001</v>
      </c>
      <c r="P189" s="24">
        <f t="shared" si="47"/>
        <v>209404.73600000003</v>
      </c>
      <c r="Q189" s="24">
        <f t="shared" si="52"/>
        <v>78454.948</v>
      </c>
      <c r="R189" s="26">
        <f t="shared" si="37"/>
        <v>184042.44</v>
      </c>
      <c r="S189" s="11"/>
      <c r="T189" s="11"/>
      <c r="U189" s="11"/>
      <c r="V189" s="11"/>
      <c r="W189" s="11"/>
      <c r="X189" s="11"/>
      <c r="Y189" s="24">
        <f t="shared" si="48"/>
        <v>0</v>
      </c>
      <c r="Z189" s="24">
        <f t="shared" si="38"/>
        <v>77208.04800000001</v>
      </c>
      <c r="AA189" s="24"/>
      <c r="AB189" s="24">
        <f t="shared" si="51"/>
        <v>29327.088</v>
      </c>
      <c r="AC189" s="26">
        <f t="shared" si="39"/>
        <v>13967.68</v>
      </c>
      <c r="AD189" s="8"/>
      <c r="AE189" s="8"/>
      <c r="AF189" s="26"/>
      <c r="AG189" s="24">
        <f t="shared" si="40"/>
        <v>70624.416</v>
      </c>
      <c r="AH189" s="24"/>
      <c r="AI189" s="24">
        <f t="shared" si="49"/>
        <v>663029.356</v>
      </c>
    </row>
    <row r="190" spans="1:35" ht="15.75">
      <c r="A190" s="3" t="s">
        <v>119</v>
      </c>
      <c r="B190" s="4" t="s">
        <v>125</v>
      </c>
      <c r="C190" s="3" t="s">
        <v>2</v>
      </c>
      <c r="D190" s="18">
        <v>4396.2</v>
      </c>
      <c r="E190" s="11">
        <f t="shared" si="41"/>
        <v>18991.584</v>
      </c>
      <c r="F190" s="11">
        <f t="shared" si="42"/>
        <v>62777.73599999999</v>
      </c>
      <c r="G190" s="11">
        <f t="shared" si="43"/>
        <v>62250.191999999995</v>
      </c>
      <c r="H190" s="11">
        <f t="shared" si="44"/>
        <v>13716.144</v>
      </c>
      <c r="I190" s="11">
        <f t="shared" si="45"/>
        <v>3165.264</v>
      </c>
      <c r="J190" s="11">
        <f t="shared" si="46"/>
        <v>9495.792</v>
      </c>
      <c r="K190" s="11">
        <f>97*6*2</f>
        <v>1164</v>
      </c>
      <c r="L190" s="8">
        <f>144.73*3</f>
        <v>434.18999999999994</v>
      </c>
      <c r="M190" s="8"/>
      <c r="N190" s="8"/>
      <c r="O190" s="16">
        <f t="shared" si="36"/>
        <v>12089.550000000001</v>
      </c>
      <c r="P190" s="24">
        <f t="shared" si="47"/>
        <v>184084.45199999996</v>
      </c>
      <c r="Q190" s="24">
        <f t="shared" si="52"/>
        <v>69152.226</v>
      </c>
      <c r="R190" s="26">
        <f t="shared" si="37"/>
        <v>162219.77999999997</v>
      </c>
      <c r="S190" s="11">
        <f>20*120</f>
        <v>2400</v>
      </c>
      <c r="T190" s="11"/>
      <c r="U190" s="11"/>
      <c r="V190" s="11"/>
      <c r="W190" s="11"/>
      <c r="X190" s="11"/>
      <c r="Y190" s="24">
        <f t="shared" si="48"/>
        <v>2400</v>
      </c>
      <c r="Z190" s="24">
        <f t="shared" si="38"/>
        <v>68053.176</v>
      </c>
      <c r="AA190" s="24"/>
      <c r="AB190" s="24">
        <f t="shared" si="51"/>
        <v>25849.656</v>
      </c>
      <c r="AC190" s="26">
        <f t="shared" si="39"/>
        <v>12311.76</v>
      </c>
      <c r="AD190" s="8"/>
      <c r="AE190" s="8"/>
      <c r="AF190" s="26"/>
      <c r="AG190" s="24">
        <f t="shared" si="40"/>
        <v>62250.191999999995</v>
      </c>
      <c r="AH190" s="24">
        <v>57500</v>
      </c>
      <c r="AI190" s="24">
        <f t="shared" si="49"/>
        <v>643821.242</v>
      </c>
    </row>
    <row r="191" spans="1:35" ht="15.75">
      <c r="A191" s="3" t="s">
        <v>119</v>
      </c>
      <c r="B191" s="4" t="s">
        <v>126</v>
      </c>
      <c r="C191" s="3" t="s">
        <v>2</v>
      </c>
      <c r="D191" s="18">
        <v>4974</v>
      </c>
      <c r="E191" s="11">
        <f t="shared" si="41"/>
        <v>21487.68</v>
      </c>
      <c r="F191" s="11">
        <f t="shared" si="42"/>
        <v>71028.72</v>
      </c>
      <c r="G191" s="11">
        <f t="shared" si="43"/>
        <v>70431.84</v>
      </c>
      <c r="H191" s="11">
        <f t="shared" si="44"/>
        <v>15518.880000000001</v>
      </c>
      <c r="I191" s="11">
        <f t="shared" si="45"/>
        <v>3581.2799999999997</v>
      </c>
      <c r="J191" s="11">
        <f t="shared" si="46"/>
        <v>10743.84</v>
      </c>
      <c r="K191" s="11">
        <f>104*6*2</f>
        <v>1248</v>
      </c>
      <c r="L191" s="8">
        <f>144.73*2</f>
        <v>289.46</v>
      </c>
      <c r="M191" s="8"/>
      <c r="N191" s="8"/>
      <c r="O191" s="16">
        <f t="shared" si="36"/>
        <v>13678.500000000002</v>
      </c>
      <c r="P191" s="24">
        <f t="shared" si="47"/>
        <v>208008.19999999998</v>
      </c>
      <c r="Q191" s="24">
        <f t="shared" si="52"/>
        <v>78241.02</v>
      </c>
      <c r="R191" s="26">
        <f t="shared" si="37"/>
        <v>183540.6</v>
      </c>
      <c r="S191" s="11"/>
      <c r="T191" s="11"/>
      <c r="U191" s="11"/>
      <c r="V191" s="11"/>
      <c r="W191" s="11"/>
      <c r="X191" s="11"/>
      <c r="Y191" s="24">
        <f t="shared" si="48"/>
        <v>0</v>
      </c>
      <c r="Z191" s="24">
        <f t="shared" si="38"/>
        <v>76997.52</v>
      </c>
      <c r="AA191" s="24"/>
      <c r="AB191" s="24">
        <f t="shared" si="51"/>
        <v>29247.119999999995</v>
      </c>
      <c r="AC191" s="26">
        <f t="shared" si="39"/>
        <v>13929.6</v>
      </c>
      <c r="AD191" s="8"/>
      <c r="AE191" s="8"/>
      <c r="AF191" s="26"/>
      <c r="AG191" s="24">
        <f t="shared" si="40"/>
        <v>70431.84</v>
      </c>
      <c r="AH191" s="24"/>
      <c r="AI191" s="24">
        <f t="shared" si="49"/>
        <v>660395.8999999999</v>
      </c>
    </row>
    <row r="192" spans="1:35" ht="15.75">
      <c r="A192" s="3" t="s">
        <v>119</v>
      </c>
      <c r="B192" s="4" t="s">
        <v>9</v>
      </c>
      <c r="C192" s="3" t="s">
        <v>2</v>
      </c>
      <c r="D192" s="18">
        <v>6176.6</v>
      </c>
      <c r="E192" s="11">
        <f t="shared" si="41"/>
        <v>26682.912</v>
      </c>
      <c r="F192" s="11">
        <f t="shared" si="42"/>
        <v>88201.848</v>
      </c>
      <c r="G192" s="11">
        <f t="shared" si="43"/>
        <v>87460.656</v>
      </c>
      <c r="H192" s="11">
        <f t="shared" si="44"/>
        <v>19270.992000000002</v>
      </c>
      <c r="I192" s="11">
        <f t="shared" si="45"/>
        <v>4447.152</v>
      </c>
      <c r="J192" s="11">
        <f t="shared" si="46"/>
        <v>13341.456</v>
      </c>
      <c r="K192" s="11">
        <f>128*8*4+128*6*2</f>
        <v>5632</v>
      </c>
      <c r="L192" s="8">
        <f>144.73*3</f>
        <v>434.18999999999994</v>
      </c>
      <c r="M192" s="8"/>
      <c r="N192" s="8"/>
      <c r="O192" s="16">
        <f t="shared" si="36"/>
        <v>16985.65</v>
      </c>
      <c r="P192" s="24">
        <f t="shared" si="47"/>
        <v>262456.856</v>
      </c>
      <c r="Q192" s="24">
        <f t="shared" si="52"/>
        <v>97157.918</v>
      </c>
      <c r="R192" s="26">
        <f t="shared" si="37"/>
        <v>227916.54000000004</v>
      </c>
      <c r="S192" s="11"/>
      <c r="T192" s="11"/>
      <c r="U192" s="11"/>
      <c r="V192" s="11"/>
      <c r="W192" s="11"/>
      <c r="X192" s="11"/>
      <c r="Y192" s="24">
        <f t="shared" si="48"/>
        <v>0</v>
      </c>
      <c r="Z192" s="24">
        <f t="shared" si="38"/>
        <v>95613.76800000001</v>
      </c>
      <c r="AA192" s="24"/>
      <c r="AB192" s="24">
        <f t="shared" si="51"/>
        <v>36318.408</v>
      </c>
      <c r="AC192" s="26">
        <f t="shared" si="39"/>
        <v>17296.880000000005</v>
      </c>
      <c r="AD192" s="8"/>
      <c r="AE192" s="8"/>
      <c r="AF192" s="26"/>
      <c r="AG192" s="24">
        <f t="shared" si="40"/>
        <v>87460.656</v>
      </c>
      <c r="AH192" s="24">
        <v>57500</v>
      </c>
      <c r="AI192" s="24">
        <f t="shared" si="49"/>
        <v>881721.0260000001</v>
      </c>
    </row>
    <row r="193" spans="1:35" ht="15.75">
      <c r="A193" s="3" t="s">
        <v>119</v>
      </c>
      <c r="B193" s="4" t="s">
        <v>71</v>
      </c>
      <c r="C193" s="3" t="s">
        <v>2</v>
      </c>
      <c r="D193" s="18">
        <v>1164.7</v>
      </c>
      <c r="E193" s="11">
        <f t="shared" si="41"/>
        <v>5031.504</v>
      </c>
      <c r="F193" s="11">
        <f t="shared" si="42"/>
        <v>16631.915999999997</v>
      </c>
      <c r="G193" s="11">
        <f t="shared" si="43"/>
        <v>16492.152000000002</v>
      </c>
      <c r="H193" s="11">
        <f t="shared" si="44"/>
        <v>3633.864</v>
      </c>
      <c r="I193" s="11">
        <f t="shared" si="45"/>
        <v>838.5840000000001</v>
      </c>
      <c r="J193" s="11">
        <f t="shared" si="46"/>
        <v>2515.752</v>
      </c>
      <c r="K193" s="11">
        <f>10*8*4+10*6*2</f>
        <v>440</v>
      </c>
      <c r="L193" s="8">
        <f>144.73*16</f>
        <v>2315.68</v>
      </c>
      <c r="M193" s="8"/>
      <c r="N193" s="8"/>
      <c r="O193" s="16">
        <f t="shared" si="36"/>
        <v>3202.925</v>
      </c>
      <c r="P193" s="24">
        <f t="shared" si="47"/>
        <v>51102.37700000001</v>
      </c>
      <c r="Q193" s="24"/>
      <c r="R193" s="26">
        <f t="shared" si="37"/>
        <v>42977.43000000001</v>
      </c>
      <c r="S193" s="11"/>
      <c r="T193" s="11"/>
      <c r="U193" s="11"/>
      <c r="V193" s="11">
        <f>156*150</f>
        <v>23400</v>
      </c>
      <c r="W193" s="11">
        <f>10*220</f>
        <v>2200</v>
      </c>
      <c r="X193" s="11"/>
      <c r="Y193" s="24">
        <f t="shared" si="48"/>
        <v>25600</v>
      </c>
      <c r="Z193" s="24">
        <f t="shared" si="38"/>
        <v>18029.556000000004</v>
      </c>
      <c r="AA193" s="24"/>
      <c r="AB193" s="24">
        <f t="shared" si="51"/>
        <v>6848.436</v>
      </c>
      <c r="AC193" s="26">
        <f t="shared" si="39"/>
        <v>3263.5600000000004</v>
      </c>
      <c r="AD193" s="8"/>
      <c r="AE193" s="8"/>
      <c r="AF193" s="26"/>
      <c r="AG193" s="24">
        <f t="shared" si="40"/>
        <v>16492.152000000002</v>
      </c>
      <c r="AH193" s="24">
        <v>57500</v>
      </c>
      <c r="AI193" s="24">
        <f t="shared" si="49"/>
        <v>221813.511</v>
      </c>
    </row>
    <row r="194" spans="1:35" ht="15.75">
      <c r="A194" s="3" t="s">
        <v>119</v>
      </c>
      <c r="B194" s="4" t="s">
        <v>90</v>
      </c>
      <c r="C194" s="3" t="s">
        <v>110</v>
      </c>
      <c r="D194" s="18">
        <v>3478.3</v>
      </c>
      <c r="E194" s="11">
        <f t="shared" si="41"/>
        <v>15026.256000000001</v>
      </c>
      <c r="F194" s="11">
        <f t="shared" si="42"/>
        <v>49670.123999999996</v>
      </c>
      <c r="G194" s="11">
        <f t="shared" si="43"/>
        <v>49252.728</v>
      </c>
      <c r="H194" s="11">
        <f t="shared" si="44"/>
        <v>10852.296</v>
      </c>
      <c r="I194" s="11">
        <f t="shared" si="45"/>
        <v>2504.376</v>
      </c>
      <c r="J194" s="11">
        <f t="shared" si="46"/>
        <v>7513.128000000001</v>
      </c>
      <c r="K194" s="11">
        <f>75*6*2</f>
        <v>900</v>
      </c>
      <c r="L194" s="8">
        <f>144.73*87</f>
        <v>12591.509999999998</v>
      </c>
      <c r="M194" s="8"/>
      <c r="N194" s="8"/>
      <c r="O194" s="16">
        <f t="shared" si="36"/>
        <v>9565.325</v>
      </c>
      <c r="P194" s="24">
        <f t="shared" si="47"/>
        <v>157875.74300000005</v>
      </c>
      <c r="Q194" s="24">
        <f>D194*1.27*5+D194*1.34*7</f>
        <v>54713.65900000001</v>
      </c>
      <c r="R194" s="26">
        <f t="shared" si="37"/>
        <v>128349.27000000002</v>
      </c>
      <c r="S194" s="11"/>
      <c r="T194" s="11"/>
      <c r="U194" s="11"/>
      <c r="V194" s="11"/>
      <c r="W194" s="11"/>
      <c r="X194" s="11"/>
      <c r="Y194" s="24">
        <f t="shared" si="48"/>
        <v>0</v>
      </c>
      <c r="Z194" s="24">
        <f t="shared" si="38"/>
        <v>53844.084</v>
      </c>
      <c r="AA194" s="24"/>
      <c r="AB194" s="24">
        <f t="shared" si="51"/>
        <v>20452.404</v>
      </c>
      <c r="AC194" s="26">
        <f t="shared" si="39"/>
        <v>9741.640000000001</v>
      </c>
      <c r="AD194" s="8"/>
      <c r="AE194" s="8"/>
      <c r="AF194" s="26"/>
      <c r="AG194" s="24">
        <f t="shared" si="40"/>
        <v>49252.728</v>
      </c>
      <c r="AH194" s="24"/>
      <c r="AI194" s="24">
        <f t="shared" si="49"/>
        <v>474229.52800000005</v>
      </c>
    </row>
    <row r="195" spans="1:35" ht="15.75">
      <c r="A195" s="3" t="s">
        <v>119</v>
      </c>
      <c r="B195" s="4" t="s">
        <v>46</v>
      </c>
      <c r="C195" s="3" t="s">
        <v>65</v>
      </c>
      <c r="D195" s="18">
        <v>14044.8</v>
      </c>
      <c r="E195" s="11">
        <f t="shared" si="41"/>
        <v>60673.53599999999</v>
      </c>
      <c r="F195" s="11">
        <f t="shared" si="42"/>
        <v>200559.74399999998</v>
      </c>
      <c r="G195" s="11">
        <f t="shared" si="43"/>
        <v>198874.36799999996</v>
      </c>
      <c r="H195" s="11">
        <f t="shared" si="44"/>
        <v>43819.776</v>
      </c>
      <c r="I195" s="11">
        <f t="shared" si="45"/>
        <v>10112.255999999998</v>
      </c>
      <c r="J195" s="11">
        <f t="shared" si="46"/>
        <v>30336.767999999996</v>
      </c>
      <c r="K195" s="11">
        <f>251*6*2</f>
        <v>3012</v>
      </c>
      <c r="L195" s="8">
        <f>144.73*269</f>
        <v>38932.369999999995</v>
      </c>
      <c r="M195" s="8">
        <f>7*142.42*1.5</f>
        <v>1495.4099999999999</v>
      </c>
      <c r="N195" s="8"/>
      <c r="O195" s="16">
        <f aca="true" t="shared" si="53" ref="O195:O255">D195*0.55*5</f>
        <v>38623.200000000004</v>
      </c>
      <c r="P195" s="24">
        <f t="shared" si="47"/>
        <v>626439.428</v>
      </c>
      <c r="Q195" s="24">
        <f>D195*1.27*5+D195*1.34*7</f>
        <v>220924.704</v>
      </c>
      <c r="R195" s="26">
        <f aca="true" t="shared" si="54" ref="R195:R255">D195*3.18*5+D195*3*7</f>
        <v>518253.11999999994</v>
      </c>
      <c r="S195" s="11"/>
      <c r="T195" s="11"/>
      <c r="U195" s="11"/>
      <c r="V195" s="11"/>
      <c r="W195" s="11"/>
      <c r="X195" s="11"/>
      <c r="Y195" s="24">
        <f t="shared" si="48"/>
        <v>0</v>
      </c>
      <c r="Z195" s="24">
        <f aca="true" t="shared" si="55" ref="Z195:Z255">D195*1.29*12</f>
        <v>217413.50400000002</v>
      </c>
      <c r="AA195" s="24">
        <f>D195*1.01*5+0.96*D195*7</f>
        <v>165307.29599999997</v>
      </c>
      <c r="AB195" s="24">
        <f t="shared" si="51"/>
        <v>82583.424</v>
      </c>
      <c r="AC195" s="26">
        <f aca="true" t="shared" si="56" ref="AC195:AC255">D195*0.4*7+0.48*5</f>
        <v>39327.840000000004</v>
      </c>
      <c r="AD195" s="8">
        <v>210728.62</v>
      </c>
      <c r="AE195" s="8">
        <v>12165.58</v>
      </c>
      <c r="AF195" s="26">
        <f>SUM(AD195:AE195)</f>
        <v>222894.19999999998</v>
      </c>
      <c r="AG195" s="24">
        <f aca="true" t="shared" si="57" ref="AG195:AG255">D195*1.18*12</f>
        <v>198874.36799999996</v>
      </c>
      <c r="AH195" s="24"/>
      <c r="AI195" s="24">
        <f t="shared" si="49"/>
        <v>2292017.8839999996</v>
      </c>
    </row>
    <row r="196" spans="1:35" ht="15.75">
      <c r="A196" s="3" t="s">
        <v>119</v>
      </c>
      <c r="B196" s="4" t="s">
        <v>47</v>
      </c>
      <c r="C196" s="3" t="s">
        <v>65</v>
      </c>
      <c r="D196" s="18">
        <v>16045.9</v>
      </c>
      <c r="E196" s="11">
        <f aca="true" t="shared" si="58" ref="E196:E255">D196*0.36*12</f>
        <v>69318.288</v>
      </c>
      <c r="F196" s="11">
        <f aca="true" t="shared" si="59" ref="F196:F255">D196*1.19*12</f>
        <v>229135.452</v>
      </c>
      <c r="G196" s="11">
        <f aca="true" t="shared" si="60" ref="G196:G255">D196*1.18*12</f>
        <v>227209.94400000002</v>
      </c>
      <c r="H196" s="11">
        <f aca="true" t="shared" si="61" ref="H196:H255">D196*0.26*12</f>
        <v>50063.208</v>
      </c>
      <c r="I196" s="11">
        <f aca="true" t="shared" si="62" ref="I196:I255">D196*0.06*12</f>
        <v>11553.047999999999</v>
      </c>
      <c r="J196" s="11">
        <f aca="true" t="shared" si="63" ref="J196:J255">D196*0.18*12</f>
        <v>34659.144</v>
      </c>
      <c r="K196" s="11">
        <f>323*6*2</f>
        <v>3876</v>
      </c>
      <c r="L196" s="8">
        <f>144.73*2</f>
        <v>289.46</v>
      </c>
      <c r="M196" s="8">
        <f>9*142.42*1.5</f>
        <v>1922.67</v>
      </c>
      <c r="N196" s="8"/>
      <c r="O196" s="16">
        <f t="shared" si="53"/>
        <v>44126.225000000006</v>
      </c>
      <c r="P196" s="24">
        <f aca="true" t="shared" si="64" ref="P196:P255">SUM(E196:O196)</f>
        <v>672153.4389999999</v>
      </c>
      <c r="Q196" s="24">
        <f>D196*1.27*5+D196*1.34*7</f>
        <v>252402.00700000004</v>
      </c>
      <c r="R196" s="26">
        <f t="shared" si="54"/>
        <v>592093.71</v>
      </c>
      <c r="S196" s="11"/>
      <c r="T196" s="11"/>
      <c r="U196" s="11"/>
      <c r="V196" s="11"/>
      <c r="W196" s="11"/>
      <c r="X196" s="11"/>
      <c r="Y196" s="24">
        <f aca="true" t="shared" si="65" ref="Y196:Y255">SUM(S196:X196)</f>
        <v>0</v>
      </c>
      <c r="Z196" s="24">
        <f t="shared" si="55"/>
        <v>248390.532</v>
      </c>
      <c r="AA196" s="24">
        <f>D196*1.01*5+0.96*D196*7</f>
        <v>188860.243</v>
      </c>
      <c r="AB196" s="24">
        <f t="shared" si="51"/>
        <v>94349.89199999999</v>
      </c>
      <c r="AC196" s="26">
        <f t="shared" si="56"/>
        <v>44930.920000000006</v>
      </c>
      <c r="AD196" s="8">
        <v>270936.8</v>
      </c>
      <c r="AE196" s="8">
        <v>15641.45</v>
      </c>
      <c r="AF196" s="26">
        <f>SUM(AD196:AE196)</f>
        <v>286578.25</v>
      </c>
      <c r="AG196" s="24">
        <f t="shared" si="57"/>
        <v>227209.94400000002</v>
      </c>
      <c r="AH196" s="24"/>
      <c r="AI196" s="24">
        <f aca="true" t="shared" si="66" ref="AI196:AI255">P196+Q196+R196+Y196+Z196+AA196+AB196+AC196+AF196+AG196+AH196</f>
        <v>2606968.937</v>
      </c>
    </row>
    <row r="197" spans="1:35" ht="15.75">
      <c r="A197" s="3" t="s">
        <v>119</v>
      </c>
      <c r="B197" s="4" t="s">
        <v>47</v>
      </c>
      <c r="C197" s="3" t="s">
        <v>110</v>
      </c>
      <c r="D197" s="18">
        <v>19874.5</v>
      </c>
      <c r="E197" s="11">
        <f t="shared" si="58"/>
        <v>85857.84</v>
      </c>
      <c r="F197" s="11">
        <f t="shared" si="59"/>
        <v>283807.86</v>
      </c>
      <c r="G197" s="11">
        <f t="shared" si="60"/>
        <v>281422.92</v>
      </c>
      <c r="H197" s="11">
        <f t="shared" si="61"/>
        <v>62008.44</v>
      </c>
      <c r="I197" s="11">
        <f t="shared" si="62"/>
        <v>14309.64</v>
      </c>
      <c r="J197" s="11">
        <f t="shared" si="63"/>
        <v>42928.92</v>
      </c>
      <c r="K197" s="11">
        <f>394*6*2</f>
        <v>4728</v>
      </c>
      <c r="L197" s="8">
        <f>144.73*2</f>
        <v>289.46</v>
      </c>
      <c r="M197" s="8">
        <f>11*142.42*1.5</f>
        <v>2349.93</v>
      </c>
      <c r="N197" s="8"/>
      <c r="O197" s="16">
        <f t="shared" si="53"/>
        <v>54654.875</v>
      </c>
      <c r="P197" s="24">
        <f t="shared" si="64"/>
        <v>832357.8849999999</v>
      </c>
      <c r="Q197" s="24">
        <f>D197*1.27*5+D197*1.34*7</f>
        <v>312625.885</v>
      </c>
      <c r="R197" s="26">
        <f t="shared" si="54"/>
        <v>733369.05</v>
      </c>
      <c r="S197" s="11"/>
      <c r="T197" s="11"/>
      <c r="U197" s="11"/>
      <c r="V197" s="11"/>
      <c r="W197" s="11"/>
      <c r="X197" s="11"/>
      <c r="Y197" s="24">
        <f t="shared" si="65"/>
        <v>0</v>
      </c>
      <c r="Z197" s="24">
        <f t="shared" si="55"/>
        <v>307657.26</v>
      </c>
      <c r="AA197" s="24">
        <f>D197*1.01*5+0.96*D197*7</f>
        <v>233922.865</v>
      </c>
      <c r="AB197" s="24">
        <f t="shared" si="51"/>
        <v>116862.06</v>
      </c>
      <c r="AC197" s="26">
        <f t="shared" si="56"/>
        <v>55651</v>
      </c>
      <c r="AD197" s="8">
        <v>331144.98</v>
      </c>
      <c r="AE197" s="8">
        <v>19117.33</v>
      </c>
      <c r="AF197" s="26">
        <f>SUM(AD197:AE197)</f>
        <v>350262.31</v>
      </c>
      <c r="AG197" s="24">
        <f t="shared" si="57"/>
        <v>281422.92</v>
      </c>
      <c r="AH197" s="24"/>
      <c r="AI197" s="24">
        <f t="shared" si="66"/>
        <v>3224131.2350000003</v>
      </c>
    </row>
    <row r="198" spans="1:35" ht="15.75">
      <c r="A198" s="3" t="s">
        <v>119</v>
      </c>
      <c r="B198" s="4" t="s">
        <v>127</v>
      </c>
      <c r="C198" s="3" t="s">
        <v>2</v>
      </c>
      <c r="D198" s="18">
        <v>946.7</v>
      </c>
      <c r="E198" s="11">
        <f t="shared" si="58"/>
        <v>4089.744</v>
      </c>
      <c r="F198" s="11">
        <f t="shared" si="59"/>
        <v>13518.876</v>
      </c>
      <c r="G198" s="11">
        <f t="shared" si="60"/>
        <v>13405.272</v>
      </c>
      <c r="H198" s="11">
        <f t="shared" si="61"/>
        <v>2953.704</v>
      </c>
      <c r="I198" s="11">
        <f t="shared" si="62"/>
        <v>681.624</v>
      </c>
      <c r="J198" s="11">
        <f t="shared" si="63"/>
        <v>2044.872</v>
      </c>
      <c r="K198" s="11">
        <f>24*8*4+24*6*2</f>
        <v>1056</v>
      </c>
      <c r="L198" s="8">
        <f>144.73*30</f>
        <v>4341.9</v>
      </c>
      <c r="M198" s="8"/>
      <c r="N198" s="8"/>
      <c r="O198" s="16">
        <f t="shared" si="53"/>
        <v>2603.425</v>
      </c>
      <c r="P198" s="24">
        <f t="shared" si="64"/>
        <v>44695.41700000001</v>
      </c>
      <c r="Q198" s="24"/>
      <c r="R198" s="26">
        <f t="shared" si="54"/>
        <v>34933.23000000001</v>
      </c>
      <c r="S198" s="11"/>
      <c r="T198" s="11"/>
      <c r="U198" s="11"/>
      <c r="V198" s="11"/>
      <c r="W198" s="11"/>
      <c r="X198" s="11">
        <v>2000</v>
      </c>
      <c r="Y198" s="24">
        <f t="shared" si="65"/>
        <v>2000</v>
      </c>
      <c r="Z198" s="24">
        <f t="shared" si="55"/>
        <v>14654.916000000001</v>
      </c>
      <c r="AA198" s="24"/>
      <c r="AB198" s="24">
        <f t="shared" si="51"/>
        <v>5566.5960000000005</v>
      </c>
      <c r="AC198" s="26">
        <f t="shared" si="56"/>
        <v>2653.1600000000003</v>
      </c>
      <c r="AD198" s="8"/>
      <c r="AE198" s="8"/>
      <c r="AF198" s="26"/>
      <c r="AG198" s="24">
        <f t="shared" si="57"/>
        <v>13405.272</v>
      </c>
      <c r="AH198" s="24">
        <v>57500</v>
      </c>
      <c r="AI198" s="24">
        <f t="shared" si="66"/>
        <v>175408.59100000001</v>
      </c>
    </row>
    <row r="199" spans="1:35" ht="15.75">
      <c r="A199" s="3" t="s">
        <v>119</v>
      </c>
      <c r="B199" s="4" t="s">
        <v>3</v>
      </c>
      <c r="C199" s="3" t="s">
        <v>2</v>
      </c>
      <c r="D199" s="18">
        <v>1502.6</v>
      </c>
      <c r="E199" s="11">
        <f t="shared" si="58"/>
        <v>6491.231999999999</v>
      </c>
      <c r="F199" s="11">
        <f t="shared" si="59"/>
        <v>21457.127999999997</v>
      </c>
      <c r="G199" s="11">
        <f t="shared" si="60"/>
        <v>21276.816</v>
      </c>
      <c r="H199" s="11">
        <f t="shared" si="61"/>
        <v>4688.112</v>
      </c>
      <c r="I199" s="11">
        <f t="shared" si="62"/>
        <v>1081.8719999999998</v>
      </c>
      <c r="J199" s="11">
        <f t="shared" si="63"/>
        <v>3245.6159999999995</v>
      </c>
      <c r="K199" s="11">
        <f>36*8*4+36*6*2</f>
        <v>1584</v>
      </c>
      <c r="L199" s="8">
        <f>144.73*33</f>
        <v>4776.089999999999</v>
      </c>
      <c r="M199" s="8"/>
      <c r="N199" s="8">
        <f>878*20.77</f>
        <v>18236.06</v>
      </c>
      <c r="O199" s="16">
        <f t="shared" si="53"/>
        <v>4132.150000000001</v>
      </c>
      <c r="P199" s="24">
        <f t="shared" si="64"/>
        <v>86969.07599999999</v>
      </c>
      <c r="Q199" s="24"/>
      <c r="R199" s="26">
        <f t="shared" si="54"/>
        <v>55445.939999999995</v>
      </c>
      <c r="S199" s="11"/>
      <c r="T199" s="11"/>
      <c r="U199" s="11"/>
      <c r="V199" s="11"/>
      <c r="W199" s="11">
        <f>2*220</f>
        <v>440</v>
      </c>
      <c r="X199" s="11"/>
      <c r="Y199" s="24">
        <f t="shared" si="65"/>
        <v>440</v>
      </c>
      <c r="Z199" s="24">
        <f t="shared" si="55"/>
        <v>23260.248</v>
      </c>
      <c r="AA199" s="24"/>
      <c r="AB199" s="24">
        <f t="shared" si="51"/>
        <v>8835.287999999999</v>
      </c>
      <c r="AC199" s="26">
        <f t="shared" si="56"/>
        <v>4209.679999999999</v>
      </c>
      <c r="AD199" s="8"/>
      <c r="AE199" s="8"/>
      <c r="AF199" s="26"/>
      <c r="AG199" s="24">
        <f t="shared" si="57"/>
        <v>21276.816</v>
      </c>
      <c r="AH199" s="24">
        <v>57500</v>
      </c>
      <c r="AI199" s="24">
        <f t="shared" si="66"/>
        <v>257937.04799999995</v>
      </c>
    </row>
    <row r="200" spans="1:35" ht="15.75">
      <c r="A200" s="5" t="s">
        <v>119</v>
      </c>
      <c r="B200" s="5" t="s">
        <v>64</v>
      </c>
      <c r="C200" s="6" t="s">
        <v>2</v>
      </c>
      <c r="D200" s="22">
        <v>1563.8</v>
      </c>
      <c r="E200" s="11">
        <f t="shared" si="58"/>
        <v>6755.616</v>
      </c>
      <c r="F200" s="11">
        <f t="shared" si="59"/>
        <v>22331.064</v>
      </c>
      <c r="G200" s="11">
        <f t="shared" si="60"/>
        <v>22143.408</v>
      </c>
      <c r="H200" s="11">
        <f t="shared" si="61"/>
        <v>4879.0560000000005</v>
      </c>
      <c r="I200" s="11">
        <f t="shared" si="62"/>
        <v>1125.936</v>
      </c>
      <c r="J200" s="11">
        <f t="shared" si="63"/>
        <v>3377.808</v>
      </c>
      <c r="K200" s="11">
        <f>4*6*2</f>
        <v>48</v>
      </c>
      <c r="L200" s="8">
        <f>144.73*74</f>
        <v>10710.019999999999</v>
      </c>
      <c r="M200" s="8"/>
      <c r="N200" s="8">
        <f>682*20.77</f>
        <v>14165.14</v>
      </c>
      <c r="O200" s="16">
        <f t="shared" si="53"/>
        <v>4300.45</v>
      </c>
      <c r="P200" s="24">
        <f t="shared" si="64"/>
        <v>89836.49799999999</v>
      </c>
      <c r="Q200" s="24"/>
      <c r="R200" s="26">
        <f t="shared" si="54"/>
        <v>57704.219999999994</v>
      </c>
      <c r="S200" s="11"/>
      <c r="T200" s="11"/>
      <c r="U200" s="11"/>
      <c r="V200" s="11"/>
      <c r="W200" s="11"/>
      <c r="X200" s="11">
        <v>60000</v>
      </c>
      <c r="Y200" s="24">
        <f t="shared" si="65"/>
        <v>60000</v>
      </c>
      <c r="Z200" s="24">
        <f t="shared" si="55"/>
        <v>24207.624</v>
      </c>
      <c r="AA200" s="24"/>
      <c r="AB200" s="24">
        <f t="shared" si="51"/>
        <v>9195.144</v>
      </c>
      <c r="AC200" s="26">
        <f t="shared" si="56"/>
        <v>4381.039999999999</v>
      </c>
      <c r="AD200" s="8"/>
      <c r="AE200" s="8"/>
      <c r="AF200" s="26"/>
      <c r="AG200" s="24">
        <f t="shared" si="57"/>
        <v>22143.408</v>
      </c>
      <c r="AH200" s="24"/>
      <c r="AI200" s="24">
        <f t="shared" si="66"/>
        <v>267467.934</v>
      </c>
    </row>
    <row r="201" spans="1:35" ht="15.75">
      <c r="A201" s="3" t="s">
        <v>119</v>
      </c>
      <c r="B201" s="4" t="s">
        <v>128</v>
      </c>
      <c r="C201" s="3" t="s">
        <v>2</v>
      </c>
      <c r="D201" s="18">
        <v>1409.2</v>
      </c>
      <c r="E201" s="11">
        <f t="shared" si="58"/>
        <v>6087.744000000001</v>
      </c>
      <c r="F201" s="11">
        <f t="shared" si="59"/>
        <v>20123.375999999997</v>
      </c>
      <c r="G201" s="11">
        <f t="shared" si="60"/>
        <v>19954.272</v>
      </c>
      <c r="H201" s="11">
        <f t="shared" si="61"/>
        <v>4396.704000000001</v>
      </c>
      <c r="I201" s="11">
        <f t="shared" si="62"/>
        <v>1014.6239999999999</v>
      </c>
      <c r="J201" s="11">
        <f t="shared" si="63"/>
        <v>3043.8720000000003</v>
      </c>
      <c r="K201" s="11">
        <f>34*8*4+34*6*2</f>
        <v>1496</v>
      </c>
      <c r="L201" s="8">
        <f>144.73*2</f>
        <v>289.46</v>
      </c>
      <c r="M201" s="8"/>
      <c r="N201" s="8"/>
      <c r="O201" s="16">
        <f t="shared" si="53"/>
        <v>3875.3</v>
      </c>
      <c r="P201" s="24">
        <f t="shared" si="64"/>
        <v>60281.352</v>
      </c>
      <c r="Q201" s="24"/>
      <c r="R201" s="26">
        <f t="shared" si="54"/>
        <v>51999.48000000001</v>
      </c>
      <c r="S201" s="11"/>
      <c r="T201" s="11"/>
      <c r="U201" s="11"/>
      <c r="V201" s="11"/>
      <c r="W201" s="11"/>
      <c r="X201" s="11"/>
      <c r="Y201" s="24">
        <f t="shared" si="65"/>
        <v>0</v>
      </c>
      <c r="Z201" s="24">
        <f t="shared" si="55"/>
        <v>21814.416</v>
      </c>
      <c r="AA201" s="24"/>
      <c r="AB201" s="24">
        <f t="shared" si="51"/>
        <v>8286.096000000001</v>
      </c>
      <c r="AC201" s="26">
        <f t="shared" si="56"/>
        <v>3948.1600000000003</v>
      </c>
      <c r="AD201" s="8"/>
      <c r="AE201" s="8"/>
      <c r="AF201" s="26"/>
      <c r="AG201" s="24">
        <f t="shared" si="57"/>
        <v>19954.272</v>
      </c>
      <c r="AH201" s="24"/>
      <c r="AI201" s="24">
        <f t="shared" si="66"/>
        <v>166283.776</v>
      </c>
    </row>
    <row r="202" spans="1:35" ht="15.75">
      <c r="A202" s="3" t="s">
        <v>129</v>
      </c>
      <c r="B202" s="4" t="s">
        <v>121</v>
      </c>
      <c r="C202" s="3" t="s">
        <v>2</v>
      </c>
      <c r="D202" s="18">
        <v>3232.9</v>
      </c>
      <c r="E202" s="11">
        <f t="shared" si="58"/>
        <v>13966.128</v>
      </c>
      <c r="F202" s="11">
        <f t="shared" si="59"/>
        <v>46165.812</v>
      </c>
      <c r="G202" s="11">
        <f t="shared" si="60"/>
        <v>45777.864</v>
      </c>
      <c r="H202" s="11">
        <f t="shared" si="61"/>
        <v>10086.648000000001</v>
      </c>
      <c r="I202" s="11">
        <f t="shared" si="62"/>
        <v>2327.688</v>
      </c>
      <c r="J202" s="11">
        <f t="shared" si="63"/>
        <v>6983.064</v>
      </c>
      <c r="K202" s="11">
        <f>70*6*2</f>
        <v>840</v>
      </c>
      <c r="L202" s="8">
        <f>144.73*3</f>
        <v>434.18999999999994</v>
      </c>
      <c r="M202" s="8"/>
      <c r="N202" s="8"/>
      <c r="O202" s="16">
        <f t="shared" si="53"/>
        <v>8890.475000000002</v>
      </c>
      <c r="P202" s="24">
        <f t="shared" si="64"/>
        <v>135471.869</v>
      </c>
      <c r="Q202" s="24">
        <f>D202*1.27*5+D202*1.34*7</f>
        <v>50853.51700000001</v>
      </c>
      <c r="R202" s="26">
        <f t="shared" si="54"/>
        <v>119294.01000000001</v>
      </c>
      <c r="S202" s="11"/>
      <c r="T202" s="11"/>
      <c r="U202" s="11"/>
      <c r="V202" s="11"/>
      <c r="W202" s="11"/>
      <c r="X202" s="11"/>
      <c r="Y202" s="24">
        <f t="shared" si="65"/>
        <v>0</v>
      </c>
      <c r="Z202" s="24">
        <f t="shared" si="55"/>
        <v>50045.292</v>
      </c>
      <c r="AA202" s="24"/>
      <c r="AB202" s="24">
        <f t="shared" si="51"/>
        <v>19009.452</v>
      </c>
      <c r="AC202" s="26">
        <f t="shared" si="56"/>
        <v>9054.52</v>
      </c>
      <c r="AD202" s="8"/>
      <c r="AE202" s="8"/>
      <c r="AF202" s="26"/>
      <c r="AG202" s="24">
        <f t="shared" si="57"/>
        <v>45777.864</v>
      </c>
      <c r="AH202" s="24"/>
      <c r="AI202" s="24">
        <f t="shared" si="66"/>
        <v>429506.52400000003</v>
      </c>
    </row>
    <row r="203" spans="1:35" ht="15.75">
      <c r="A203" s="3" t="s">
        <v>129</v>
      </c>
      <c r="B203" s="4" t="s">
        <v>11</v>
      </c>
      <c r="C203" s="3" t="s">
        <v>2</v>
      </c>
      <c r="D203" s="21">
        <v>584.3</v>
      </c>
      <c r="E203" s="11">
        <f t="shared" si="58"/>
        <v>2524.176</v>
      </c>
      <c r="F203" s="11">
        <f t="shared" si="59"/>
        <v>8343.803999999998</v>
      </c>
      <c r="G203" s="11">
        <f t="shared" si="60"/>
        <v>8273.687999999998</v>
      </c>
      <c r="H203" s="11">
        <f t="shared" si="61"/>
        <v>1823.016</v>
      </c>
      <c r="I203" s="11">
        <f t="shared" si="62"/>
        <v>420.6959999999999</v>
      </c>
      <c r="J203" s="11">
        <f t="shared" si="63"/>
        <v>1262.088</v>
      </c>
      <c r="K203" s="11">
        <f>16*8*4+16*6*2</f>
        <v>704</v>
      </c>
      <c r="L203" s="8">
        <f>144.73*3</f>
        <v>434.18999999999994</v>
      </c>
      <c r="M203" s="8"/>
      <c r="N203" s="8"/>
      <c r="O203" s="16">
        <f t="shared" si="53"/>
        <v>1606.825</v>
      </c>
      <c r="P203" s="24">
        <f t="shared" si="64"/>
        <v>25392.482999999997</v>
      </c>
      <c r="Q203" s="24"/>
      <c r="R203" s="26">
        <f t="shared" si="54"/>
        <v>21560.67</v>
      </c>
      <c r="S203" s="11"/>
      <c r="T203" s="11"/>
      <c r="U203" s="11"/>
      <c r="V203" s="11"/>
      <c r="W203" s="11"/>
      <c r="X203" s="11"/>
      <c r="Y203" s="24">
        <f t="shared" si="65"/>
        <v>0</v>
      </c>
      <c r="Z203" s="24">
        <f t="shared" si="55"/>
        <v>9044.964</v>
      </c>
      <c r="AA203" s="24"/>
      <c r="AB203" s="24">
        <f t="shared" si="51"/>
        <v>3435.6839999999993</v>
      </c>
      <c r="AC203" s="26">
        <f t="shared" si="56"/>
        <v>1638.44</v>
      </c>
      <c r="AD203" s="8"/>
      <c r="AE203" s="8"/>
      <c r="AF203" s="26"/>
      <c r="AG203" s="24">
        <f t="shared" si="57"/>
        <v>8273.687999999998</v>
      </c>
      <c r="AH203" s="24"/>
      <c r="AI203" s="24">
        <f t="shared" si="66"/>
        <v>69345.92899999999</v>
      </c>
    </row>
    <row r="204" spans="1:35" ht="15.75">
      <c r="A204" s="3" t="s">
        <v>129</v>
      </c>
      <c r="B204" s="4" t="s">
        <v>12</v>
      </c>
      <c r="C204" s="3" t="s">
        <v>2</v>
      </c>
      <c r="D204" s="18">
        <v>676.3</v>
      </c>
      <c r="E204" s="11">
        <f t="shared" si="58"/>
        <v>2921.6159999999995</v>
      </c>
      <c r="F204" s="11">
        <f t="shared" si="59"/>
        <v>9657.563999999998</v>
      </c>
      <c r="G204" s="11">
        <f t="shared" si="60"/>
        <v>9576.408</v>
      </c>
      <c r="H204" s="11">
        <f t="shared" si="61"/>
        <v>2110.056</v>
      </c>
      <c r="I204" s="11">
        <f t="shared" si="62"/>
        <v>486.9359999999999</v>
      </c>
      <c r="J204" s="11">
        <f t="shared" si="63"/>
        <v>1460.8079999999998</v>
      </c>
      <c r="K204" s="11">
        <f>16*8*4+16*6*2</f>
        <v>704</v>
      </c>
      <c r="L204" s="8">
        <f>144.73*22</f>
        <v>3184.06</v>
      </c>
      <c r="M204" s="8"/>
      <c r="N204" s="8"/>
      <c r="O204" s="16">
        <f t="shared" si="53"/>
        <v>1859.8250000000003</v>
      </c>
      <c r="P204" s="24">
        <f t="shared" si="64"/>
        <v>31961.273</v>
      </c>
      <c r="Q204" s="24"/>
      <c r="R204" s="26">
        <f t="shared" si="54"/>
        <v>24955.47</v>
      </c>
      <c r="S204" s="11"/>
      <c r="T204" s="11"/>
      <c r="U204" s="11"/>
      <c r="V204" s="11"/>
      <c r="W204" s="11"/>
      <c r="X204" s="11"/>
      <c r="Y204" s="24">
        <f t="shared" si="65"/>
        <v>0</v>
      </c>
      <c r="Z204" s="24">
        <f t="shared" si="55"/>
        <v>10469.124</v>
      </c>
      <c r="AA204" s="24"/>
      <c r="AB204" s="24">
        <f t="shared" si="51"/>
        <v>3976.6439999999993</v>
      </c>
      <c r="AC204" s="26">
        <f t="shared" si="56"/>
        <v>1896.04</v>
      </c>
      <c r="AD204" s="8"/>
      <c r="AE204" s="8"/>
      <c r="AF204" s="26"/>
      <c r="AG204" s="24">
        <f t="shared" si="57"/>
        <v>9576.408</v>
      </c>
      <c r="AH204" s="24"/>
      <c r="AI204" s="24">
        <f t="shared" si="66"/>
        <v>82834.95899999999</v>
      </c>
    </row>
    <row r="205" spans="1:35" ht="15.75">
      <c r="A205" s="3" t="s">
        <v>129</v>
      </c>
      <c r="B205" s="4" t="s">
        <v>41</v>
      </c>
      <c r="C205" s="3" t="s">
        <v>2</v>
      </c>
      <c r="D205" s="18">
        <v>562.3</v>
      </c>
      <c r="E205" s="11">
        <f t="shared" si="58"/>
        <v>2429.1359999999995</v>
      </c>
      <c r="F205" s="11">
        <f t="shared" si="59"/>
        <v>8029.643999999999</v>
      </c>
      <c r="G205" s="11">
        <f t="shared" si="60"/>
        <v>7962.167999999999</v>
      </c>
      <c r="H205" s="11">
        <f t="shared" si="61"/>
        <v>1754.3759999999997</v>
      </c>
      <c r="I205" s="11">
        <f t="shared" si="62"/>
        <v>404.856</v>
      </c>
      <c r="J205" s="11">
        <f t="shared" si="63"/>
        <v>1214.5679999999998</v>
      </c>
      <c r="K205" s="11">
        <f>16*8*4+16*6*2</f>
        <v>704</v>
      </c>
      <c r="L205" s="8">
        <f>144.73*22</f>
        <v>3184.06</v>
      </c>
      <c r="M205" s="8"/>
      <c r="N205" s="8"/>
      <c r="O205" s="16">
        <f t="shared" si="53"/>
        <v>1546.3249999999998</v>
      </c>
      <c r="P205" s="24">
        <f t="shared" si="64"/>
        <v>27229.132999999998</v>
      </c>
      <c r="Q205" s="24"/>
      <c r="R205" s="26">
        <f t="shared" si="54"/>
        <v>20748.87</v>
      </c>
      <c r="S205" s="11"/>
      <c r="T205" s="11"/>
      <c r="U205" s="11"/>
      <c r="V205" s="11"/>
      <c r="W205" s="11"/>
      <c r="X205" s="11"/>
      <c r="Y205" s="24">
        <f t="shared" si="65"/>
        <v>0</v>
      </c>
      <c r="Z205" s="24">
        <f t="shared" si="55"/>
        <v>8704.403999999999</v>
      </c>
      <c r="AA205" s="24"/>
      <c r="AB205" s="24">
        <f t="shared" si="51"/>
        <v>3306.3239999999996</v>
      </c>
      <c r="AC205" s="26">
        <f t="shared" si="56"/>
        <v>1576.84</v>
      </c>
      <c r="AD205" s="8"/>
      <c r="AE205" s="8"/>
      <c r="AF205" s="26"/>
      <c r="AG205" s="24">
        <f t="shared" si="57"/>
        <v>7962.167999999999</v>
      </c>
      <c r="AH205" s="24"/>
      <c r="AI205" s="24">
        <f t="shared" si="66"/>
        <v>69527.73899999999</v>
      </c>
    </row>
    <row r="206" spans="1:35" ht="15.75">
      <c r="A206" s="3" t="s">
        <v>129</v>
      </c>
      <c r="B206" s="4" t="s">
        <v>64</v>
      </c>
      <c r="C206" s="3" t="s">
        <v>2</v>
      </c>
      <c r="D206" s="18">
        <v>274.5</v>
      </c>
      <c r="E206" s="11">
        <f t="shared" si="58"/>
        <v>1185.84</v>
      </c>
      <c r="F206" s="11">
        <f t="shared" si="59"/>
        <v>3919.8599999999997</v>
      </c>
      <c r="G206" s="11">
        <f t="shared" si="60"/>
        <v>3886.9199999999996</v>
      </c>
      <c r="H206" s="11">
        <f t="shared" si="61"/>
        <v>856.44</v>
      </c>
      <c r="I206" s="11">
        <f t="shared" si="62"/>
        <v>197.64</v>
      </c>
      <c r="J206" s="11">
        <f t="shared" si="63"/>
        <v>592.92</v>
      </c>
      <c r="K206" s="11">
        <f>8*6*2</f>
        <v>96</v>
      </c>
      <c r="L206" s="8">
        <f>144.73*12</f>
        <v>1736.7599999999998</v>
      </c>
      <c r="M206" s="8"/>
      <c r="N206" s="8"/>
      <c r="O206" s="16">
        <f t="shared" si="53"/>
        <v>754.8750000000001</v>
      </c>
      <c r="P206" s="24">
        <f t="shared" si="64"/>
        <v>13227.255</v>
      </c>
      <c r="Q206" s="24"/>
      <c r="R206" s="26">
        <f t="shared" si="54"/>
        <v>10129.05</v>
      </c>
      <c r="S206" s="11"/>
      <c r="T206" s="11"/>
      <c r="U206" s="11"/>
      <c r="V206" s="11"/>
      <c r="W206" s="11"/>
      <c r="X206" s="11"/>
      <c r="Y206" s="24">
        <f t="shared" si="65"/>
        <v>0</v>
      </c>
      <c r="Z206" s="24">
        <f t="shared" si="55"/>
        <v>4249.26</v>
      </c>
      <c r="AA206" s="24"/>
      <c r="AB206" s="24">
        <f t="shared" si="51"/>
        <v>1614.06</v>
      </c>
      <c r="AC206" s="26">
        <f t="shared" si="56"/>
        <v>771.0000000000001</v>
      </c>
      <c r="AD206" s="8"/>
      <c r="AE206" s="8"/>
      <c r="AF206" s="26"/>
      <c r="AG206" s="24">
        <f t="shared" si="57"/>
        <v>3886.9199999999996</v>
      </c>
      <c r="AH206" s="24"/>
      <c r="AI206" s="24">
        <f t="shared" si="66"/>
        <v>33877.545000000006</v>
      </c>
    </row>
    <row r="207" spans="1:35" ht="15.75">
      <c r="A207" s="3" t="s">
        <v>130</v>
      </c>
      <c r="B207" s="4" t="s">
        <v>80</v>
      </c>
      <c r="C207" s="3" t="s">
        <v>2</v>
      </c>
      <c r="D207" s="18">
        <v>3323.1</v>
      </c>
      <c r="E207" s="11">
        <f t="shared" si="58"/>
        <v>14355.792000000001</v>
      </c>
      <c r="F207" s="11">
        <f t="shared" si="59"/>
        <v>47453.867999999995</v>
      </c>
      <c r="G207" s="11">
        <f t="shared" si="60"/>
        <v>47055.096</v>
      </c>
      <c r="H207" s="11">
        <f t="shared" si="61"/>
        <v>10368.072</v>
      </c>
      <c r="I207" s="11">
        <f t="shared" si="62"/>
        <v>2392.632</v>
      </c>
      <c r="J207" s="11">
        <f t="shared" si="63"/>
        <v>7177.896000000001</v>
      </c>
      <c r="K207" s="11">
        <f>68*6*2</f>
        <v>816</v>
      </c>
      <c r="L207" s="8">
        <f>144.73*3</f>
        <v>434.18999999999994</v>
      </c>
      <c r="M207" s="8"/>
      <c r="N207" s="8"/>
      <c r="O207" s="16">
        <f t="shared" si="53"/>
        <v>9138.525000000001</v>
      </c>
      <c r="P207" s="24">
        <f t="shared" si="64"/>
        <v>139192.071</v>
      </c>
      <c r="Q207" s="24">
        <f>D207*1.27*5+D207*1.34*7</f>
        <v>52272.363</v>
      </c>
      <c r="R207" s="26">
        <f t="shared" si="54"/>
        <v>122622.38999999998</v>
      </c>
      <c r="S207" s="11"/>
      <c r="T207" s="11"/>
      <c r="U207" s="11"/>
      <c r="V207" s="11"/>
      <c r="W207" s="11"/>
      <c r="X207" s="11">
        <v>80000</v>
      </c>
      <c r="Y207" s="24">
        <f t="shared" si="65"/>
        <v>80000</v>
      </c>
      <c r="Z207" s="24">
        <f t="shared" si="55"/>
        <v>51441.588</v>
      </c>
      <c r="AA207" s="24"/>
      <c r="AB207" s="24">
        <f t="shared" si="51"/>
        <v>19539.828</v>
      </c>
      <c r="AC207" s="26">
        <f t="shared" si="56"/>
        <v>9307.08</v>
      </c>
      <c r="AD207" s="8"/>
      <c r="AE207" s="8"/>
      <c r="AF207" s="26"/>
      <c r="AG207" s="24">
        <f t="shared" si="57"/>
        <v>47055.096</v>
      </c>
      <c r="AH207" s="24">
        <v>57500</v>
      </c>
      <c r="AI207" s="24">
        <f t="shared" si="66"/>
        <v>578930.416</v>
      </c>
    </row>
    <row r="208" spans="1:35" ht="15.75">
      <c r="A208" s="5" t="s">
        <v>130</v>
      </c>
      <c r="B208" s="5" t="s">
        <v>131</v>
      </c>
      <c r="C208" s="6" t="s">
        <v>2</v>
      </c>
      <c r="D208" s="18">
        <v>95.1</v>
      </c>
      <c r="E208" s="11">
        <f t="shared" si="58"/>
        <v>410.832</v>
      </c>
      <c r="F208" s="11">
        <f t="shared" si="59"/>
        <v>1358.0279999999998</v>
      </c>
      <c r="G208" s="11">
        <f t="shared" si="60"/>
        <v>1346.616</v>
      </c>
      <c r="H208" s="11">
        <f t="shared" si="61"/>
        <v>296.712</v>
      </c>
      <c r="I208" s="11">
        <f t="shared" si="62"/>
        <v>68.472</v>
      </c>
      <c r="J208" s="11">
        <f t="shared" si="63"/>
        <v>205.416</v>
      </c>
      <c r="K208" s="11">
        <f>2*230</f>
        <v>460</v>
      </c>
      <c r="L208" s="8"/>
      <c r="M208" s="8"/>
      <c r="N208" s="8"/>
      <c r="O208" s="16">
        <f t="shared" si="53"/>
        <v>261.525</v>
      </c>
      <c r="P208" s="24">
        <f t="shared" si="64"/>
        <v>4407.601</v>
      </c>
      <c r="Q208" s="24"/>
      <c r="R208" s="26">
        <f t="shared" si="54"/>
        <v>3509.1899999999996</v>
      </c>
      <c r="S208" s="11"/>
      <c r="T208" s="11"/>
      <c r="U208" s="11"/>
      <c r="V208" s="11"/>
      <c r="W208" s="11"/>
      <c r="X208" s="11"/>
      <c r="Y208" s="24">
        <f t="shared" si="65"/>
        <v>0</v>
      </c>
      <c r="Z208" s="24">
        <f t="shared" si="55"/>
        <v>1472.1480000000001</v>
      </c>
      <c r="AA208" s="24"/>
      <c r="AB208" s="24">
        <f t="shared" si="51"/>
        <v>559.188</v>
      </c>
      <c r="AC208" s="26">
        <f t="shared" si="56"/>
        <v>268.67999999999995</v>
      </c>
      <c r="AD208" s="8"/>
      <c r="AE208" s="8"/>
      <c r="AF208" s="26"/>
      <c r="AG208" s="24">
        <f t="shared" si="57"/>
        <v>1346.616</v>
      </c>
      <c r="AH208" s="24"/>
      <c r="AI208" s="24">
        <f t="shared" si="66"/>
        <v>11563.422999999999</v>
      </c>
    </row>
    <row r="209" spans="1:35" ht="15.75">
      <c r="A209" s="3" t="s">
        <v>132</v>
      </c>
      <c r="B209" s="4" t="s">
        <v>34</v>
      </c>
      <c r="C209" s="3" t="s">
        <v>2</v>
      </c>
      <c r="D209" s="18">
        <v>509.2</v>
      </c>
      <c r="E209" s="11">
        <f t="shared" si="58"/>
        <v>2199.7439999999997</v>
      </c>
      <c r="F209" s="11">
        <f t="shared" si="59"/>
        <v>7271.376</v>
      </c>
      <c r="G209" s="11">
        <f t="shared" si="60"/>
        <v>7210.272</v>
      </c>
      <c r="H209" s="11">
        <f t="shared" si="61"/>
        <v>1588.704</v>
      </c>
      <c r="I209" s="11">
        <f t="shared" si="62"/>
        <v>366.624</v>
      </c>
      <c r="J209" s="11">
        <f t="shared" si="63"/>
        <v>1099.8719999999998</v>
      </c>
      <c r="K209" s="11">
        <f>12*8*4+12*6*2</f>
        <v>528</v>
      </c>
      <c r="L209" s="8">
        <f>144.73*16</f>
        <v>2315.68</v>
      </c>
      <c r="M209" s="8"/>
      <c r="N209" s="8">
        <f>105*20.77</f>
        <v>2180.85</v>
      </c>
      <c r="O209" s="16">
        <f t="shared" si="53"/>
        <v>1400.3</v>
      </c>
      <c r="P209" s="24">
        <f t="shared" si="64"/>
        <v>26161.422</v>
      </c>
      <c r="Q209" s="24">
        <f>D209*1.27*5+D209*1.34*7</f>
        <v>8009.716</v>
      </c>
      <c r="R209" s="26">
        <f t="shared" si="54"/>
        <v>18789.48</v>
      </c>
      <c r="S209" s="11"/>
      <c r="T209" s="11"/>
      <c r="U209" s="11"/>
      <c r="V209" s="11"/>
      <c r="W209" s="11"/>
      <c r="X209" s="11"/>
      <c r="Y209" s="24">
        <f t="shared" si="65"/>
        <v>0</v>
      </c>
      <c r="Z209" s="24">
        <f t="shared" si="55"/>
        <v>7882.416000000001</v>
      </c>
      <c r="AA209" s="24"/>
      <c r="AB209" s="24">
        <f t="shared" si="51"/>
        <v>2994.0959999999995</v>
      </c>
      <c r="AC209" s="26">
        <f t="shared" si="56"/>
        <v>1428.16</v>
      </c>
      <c r="AD209" s="8"/>
      <c r="AE209" s="8"/>
      <c r="AF209" s="26"/>
      <c r="AG209" s="24">
        <f t="shared" si="57"/>
        <v>7210.272</v>
      </c>
      <c r="AH209" s="24">
        <v>57500</v>
      </c>
      <c r="AI209" s="24">
        <f t="shared" si="66"/>
        <v>129975.562</v>
      </c>
    </row>
    <row r="210" spans="1:35" ht="15.75">
      <c r="A210" s="3" t="s">
        <v>133</v>
      </c>
      <c r="B210" s="4" t="s">
        <v>1</v>
      </c>
      <c r="C210" s="3" t="s">
        <v>2</v>
      </c>
      <c r="D210" s="21">
        <v>538.9</v>
      </c>
      <c r="E210" s="11">
        <f t="shared" si="58"/>
        <v>2328.048</v>
      </c>
      <c r="F210" s="11">
        <f t="shared" si="59"/>
        <v>7695.491999999999</v>
      </c>
      <c r="G210" s="11">
        <f t="shared" si="60"/>
        <v>7630.823999999999</v>
      </c>
      <c r="H210" s="11">
        <f t="shared" si="61"/>
        <v>1681.368</v>
      </c>
      <c r="I210" s="11">
        <f t="shared" si="62"/>
        <v>388.0079999999999</v>
      </c>
      <c r="J210" s="11">
        <f t="shared" si="63"/>
        <v>1164.024</v>
      </c>
      <c r="K210" s="11">
        <f>8*8*4+8*6*2</f>
        <v>352</v>
      </c>
      <c r="L210" s="8"/>
      <c r="M210" s="8"/>
      <c r="N210" s="8">
        <f>501*20.77</f>
        <v>10405.77</v>
      </c>
      <c r="O210" s="16">
        <f t="shared" si="53"/>
        <v>1481.9750000000001</v>
      </c>
      <c r="P210" s="24">
        <f t="shared" si="64"/>
        <v>33127.509</v>
      </c>
      <c r="Q210" s="24"/>
      <c r="R210" s="26">
        <f t="shared" si="54"/>
        <v>19885.409999999996</v>
      </c>
      <c r="S210" s="11"/>
      <c r="T210" s="11"/>
      <c r="U210" s="11"/>
      <c r="V210" s="11"/>
      <c r="W210" s="11"/>
      <c r="X210" s="11"/>
      <c r="Y210" s="24">
        <f t="shared" si="65"/>
        <v>0</v>
      </c>
      <c r="Z210" s="24">
        <f t="shared" si="55"/>
        <v>8342.172</v>
      </c>
      <c r="AA210" s="24"/>
      <c r="AB210" s="24">
        <f t="shared" si="51"/>
        <v>3168.732</v>
      </c>
      <c r="AC210" s="26">
        <f t="shared" si="56"/>
        <v>1511.3200000000002</v>
      </c>
      <c r="AD210" s="8"/>
      <c r="AE210" s="8"/>
      <c r="AF210" s="26"/>
      <c r="AG210" s="24">
        <f t="shared" si="57"/>
        <v>7630.823999999999</v>
      </c>
      <c r="AH210" s="24"/>
      <c r="AI210" s="24">
        <f t="shared" si="66"/>
        <v>73665.96699999999</v>
      </c>
    </row>
    <row r="211" spans="1:35" ht="15.75">
      <c r="A211" s="3" t="s">
        <v>133</v>
      </c>
      <c r="B211" s="4" t="s">
        <v>68</v>
      </c>
      <c r="C211" s="3" t="s">
        <v>2</v>
      </c>
      <c r="D211" s="18">
        <v>2037.5</v>
      </c>
      <c r="E211" s="11">
        <f t="shared" si="58"/>
        <v>8802</v>
      </c>
      <c r="F211" s="11">
        <f t="shared" si="59"/>
        <v>29095.5</v>
      </c>
      <c r="G211" s="11">
        <f t="shared" si="60"/>
        <v>28851</v>
      </c>
      <c r="H211" s="11">
        <f t="shared" si="61"/>
        <v>6357</v>
      </c>
      <c r="I211" s="11">
        <f t="shared" si="62"/>
        <v>1467</v>
      </c>
      <c r="J211" s="11">
        <f t="shared" si="63"/>
        <v>4401</v>
      </c>
      <c r="K211" s="11">
        <f>48*8*4+48*6*2</f>
        <v>2112</v>
      </c>
      <c r="L211" s="8">
        <f>144.73*3</f>
        <v>434.18999999999994</v>
      </c>
      <c r="M211" s="8"/>
      <c r="N211" s="8"/>
      <c r="O211" s="16">
        <f t="shared" si="53"/>
        <v>5603.125</v>
      </c>
      <c r="P211" s="24">
        <f t="shared" si="64"/>
        <v>87122.815</v>
      </c>
      <c r="Q211" s="24">
        <f>D211*1.27*5+D211*1.34*7</f>
        <v>32049.875</v>
      </c>
      <c r="R211" s="26">
        <f t="shared" si="54"/>
        <v>75183.75</v>
      </c>
      <c r="S211" s="11"/>
      <c r="T211" s="11"/>
      <c r="U211" s="11"/>
      <c r="V211" s="11"/>
      <c r="W211" s="11"/>
      <c r="X211" s="11"/>
      <c r="Y211" s="24">
        <f t="shared" si="65"/>
        <v>0</v>
      </c>
      <c r="Z211" s="24">
        <f t="shared" si="55"/>
        <v>31540.5</v>
      </c>
      <c r="AA211" s="24"/>
      <c r="AB211" s="24">
        <f t="shared" si="51"/>
        <v>11980.5</v>
      </c>
      <c r="AC211" s="26">
        <f t="shared" si="56"/>
        <v>5707.4</v>
      </c>
      <c r="AD211" s="8"/>
      <c r="AE211" s="8"/>
      <c r="AF211" s="26"/>
      <c r="AG211" s="24">
        <f t="shared" si="57"/>
        <v>28851</v>
      </c>
      <c r="AH211" s="24"/>
      <c r="AI211" s="24">
        <f t="shared" si="66"/>
        <v>272435.83999999997</v>
      </c>
    </row>
    <row r="212" spans="1:35" ht="15.75">
      <c r="A212" s="3" t="s">
        <v>133</v>
      </c>
      <c r="B212" s="4" t="s">
        <v>86</v>
      </c>
      <c r="C212" s="3" t="s">
        <v>2</v>
      </c>
      <c r="D212" s="18">
        <v>2561.4</v>
      </c>
      <c r="E212" s="11">
        <f t="shared" si="58"/>
        <v>11065.248</v>
      </c>
      <c r="F212" s="11">
        <f t="shared" si="59"/>
        <v>36576.792</v>
      </c>
      <c r="G212" s="11">
        <f t="shared" si="60"/>
        <v>36269.424</v>
      </c>
      <c r="H212" s="11">
        <f t="shared" si="61"/>
        <v>7991.568000000001</v>
      </c>
      <c r="I212" s="11">
        <f t="shared" si="62"/>
        <v>1844.208</v>
      </c>
      <c r="J212" s="11">
        <f t="shared" si="63"/>
        <v>5532.624</v>
      </c>
      <c r="K212" s="11">
        <f>60*8+60*6*2</f>
        <v>1200</v>
      </c>
      <c r="L212" s="8">
        <f>144.73*3</f>
        <v>434.18999999999994</v>
      </c>
      <c r="M212" s="8"/>
      <c r="N212" s="8">
        <f>894*20.77</f>
        <v>18568.38</v>
      </c>
      <c r="O212" s="16">
        <f t="shared" si="53"/>
        <v>7043.850000000001</v>
      </c>
      <c r="P212" s="24">
        <f t="shared" si="64"/>
        <v>126526.28400000001</v>
      </c>
      <c r="Q212" s="24">
        <f>D212*1.27*5+D212*1.34*7</f>
        <v>40290.822</v>
      </c>
      <c r="R212" s="26">
        <f t="shared" si="54"/>
        <v>94515.66</v>
      </c>
      <c r="S212" s="11"/>
      <c r="T212" s="11"/>
      <c r="U212" s="11"/>
      <c r="V212" s="11">
        <f>210*150</f>
        <v>31500</v>
      </c>
      <c r="W212" s="11"/>
      <c r="X212" s="11"/>
      <c r="Y212" s="24">
        <f t="shared" si="65"/>
        <v>31500</v>
      </c>
      <c r="Z212" s="24">
        <f t="shared" si="55"/>
        <v>39650.472</v>
      </c>
      <c r="AA212" s="24"/>
      <c r="AB212" s="24">
        <f t="shared" si="51"/>
        <v>15061.032</v>
      </c>
      <c r="AC212" s="26">
        <f t="shared" si="56"/>
        <v>7174.320000000001</v>
      </c>
      <c r="AD212" s="8"/>
      <c r="AE212" s="8"/>
      <c r="AF212" s="26"/>
      <c r="AG212" s="24">
        <f t="shared" si="57"/>
        <v>36269.424</v>
      </c>
      <c r="AH212" s="24"/>
      <c r="AI212" s="24">
        <f t="shared" si="66"/>
        <v>390988.0140000001</v>
      </c>
    </row>
    <row r="213" spans="1:35" ht="15.75">
      <c r="A213" s="3" t="s">
        <v>133</v>
      </c>
      <c r="B213" s="4" t="s">
        <v>70</v>
      </c>
      <c r="C213" s="3" t="s">
        <v>2</v>
      </c>
      <c r="D213" s="18">
        <v>2543.2</v>
      </c>
      <c r="E213" s="11">
        <f t="shared" si="58"/>
        <v>10986.624</v>
      </c>
      <c r="F213" s="11">
        <f t="shared" si="59"/>
        <v>36316.89599999999</v>
      </c>
      <c r="G213" s="11">
        <f t="shared" si="60"/>
        <v>36011.712</v>
      </c>
      <c r="H213" s="11">
        <f t="shared" si="61"/>
        <v>7934.784</v>
      </c>
      <c r="I213" s="11">
        <f t="shared" si="62"/>
        <v>1831.1039999999998</v>
      </c>
      <c r="J213" s="11">
        <f t="shared" si="63"/>
        <v>5493.312</v>
      </c>
      <c r="K213" s="11">
        <f>60*8+60*6*2</f>
        <v>1200</v>
      </c>
      <c r="L213" s="8">
        <f>144.73*3</f>
        <v>434.18999999999994</v>
      </c>
      <c r="M213" s="8"/>
      <c r="N213" s="8">
        <f>894*20.77</f>
        <v>18568.38</v>
      </c>
      <c r="O213" s="16">
        <f t="shared" si="53"/>
        <v>6993.8</v>
      </c>
      <c r="P213" s="24">
        <f t="shared" si="64"/>
        <v>125770.80200000001</v>
      </c>
      <c r="Q213" s="24">
        <f>D213*1.27*5+D213*1.34*7</f>
        <v>40004.536</v>
      </c>
      <c r="R213" s="26">
        <f t="shared" si="54"/>
        <v>93844.08</v>
      </c>
      <c r="S213" s="11"/>
      <c r="T213" s="11"/>
      <c r="U213" s="11"/>
      <c r="V213" s="11"/>
      <c r="W213" s="11"/>
      <c r="X213" s="11"/>
      <c r="Y213" s="24">
        <f t="shared" si="65"/>
        <v>0</v>
      </c>
      <c r="Z213" s="24">
        <f t="shared" si="55"/>
        <v>39368.736000000004</v>
      </c>
      <c r="AA213" s="24"/>
      <c r="AB213" s="24">
        <f t="shared" si="51"/>
        <v>14954.016</v>
      </c>
      <c r="AC213" s="26">
        <f t="shared" si="56"/>
        <v>7123.36</v>
      </c>
      <c r="AD213" s="8"/>
      <c r="AE213" s="8"/>
      <c r="AF213" s="26"/>
      <c r="AG213" s="24">
        <f t="shared" si="57"/>
        <v>36011.712</v>
      </c>
      <c r="AH213" s="24"/>
      <c r="AI213" s="24">
        <f t="shared" si="66"/>
        <v>357077.24199999997</v>
      </c>
    </row>
    <row r="214" spans="1:35" ht="15.75">
      <c r="A214" s="3" t="s">
        <v>133</v>
      </c>
      <c r="B214" s="4" t="s">
        <v>71</v>
      </c>
      <c r="C214" s="3" t="s">
        <v>2</v>
      </c>
      <c r="D214" s="18">
        <v>529.2</v>
      </c>
      <c r="E214" s="11">
        <f t="shared" si="58"/>
        <v>2286.1440000000002</v>
      </c>
      <c r="F214" s="11">
        <f t="shared" si="59"/>
        <v>7556.976000000001</v>
      </c>
      <c r="G214" s="11">
        <f t="shared" si="60"/>
        <v>7493.472</v>
      </c>
      <c r="H214" s="11">
        <f t="shared" si="61"/>
        <v>1651.1040000000003</v>
      </c>
      <c r="I214" s="11">
        <f t="shared" si="62"/>
        <v>381.024</v>
      </c>
      <c r="J214" s="11">
        <f t="shared" si="63"/>
        <v>1143.0720000000001</v>
      </c>
      <c r="K214" s="11">
        <f>8*8*4+8*6*2</f>
        <v>352</v>
      </c>
      <c r="L214" s="8">
        <f>144.79*12</f>
        <v>1737.48</v>
      </c>
      <c r="M214" s="8"/>
      <c r="N214" s="8">
        <f>498*20.77</f>
        <v>10343.46</v>
      </c>
      <c r="O214" s="16">
        <f t="shared" si="53"/>
        <v>1455.3000000000002</v>
      </c>
      <c r="P214" s="24">
        <f t="shared" si="64"/>
        <v>34400.03200000001</v>
      </c>
      <c r="Q214" s="24"/>
      <c r="R214" s="26">
        <f t="shared" si="54"/>
        <v>19527.480000000003</v>
      </c>
      <c r="S214" s="11"/>
      <c r="T214" s="11"/>
      <c r="U214" s="11"/>
      <c r="V214" s="11"/>
      <c r="W214" s="11"/>
      <c r="X214" s="11"/>
      <c r="Y214" s="24">
        <f t="shared" si="65"/>
        <v>0</v>
      </c>
      <c r="Z214" s="24">
        <f t="shared" si="55"/>
        <v>8192.016000000001</v>
      </c>
      <c r="AA214" s="24"/>
      <c r="AB214" s="24">
        <f t="shared" si="51"/>
        <v>3111.696</v>
      </c>
      <c r="AC214" s="26">
        <f t="shared" si="56"/>
        <v>1484.1600000000003</v>
      </c>
      <c r="AD214" s="8"/>
      <c r="AE214" s="8"/>
      <c r="AF214" s="26"/>
      <c r="AG214" s="24">
        <f t="shared" si="57"/>
        <v>7493.472</v>
      </c>
      <c r="AH214" s="24"/>
      <c r="AI214" s="24">
        <f t="shared" si="66"/>
        <v>74208.85600000001</v>
      </c>
    </row>
    <row r="215" spans="1:35" ht="15.75">
      <c r="A215" s="3" t="s">
        <v>133</v>
      </c>
      <c r="B215" s="4" t="s">
        <v>127</v>
      </c>
      <c r="C215" s="3" t="s">
        <v>2</v>
      </c>
      <c r="D215" s="18">
        <v>2391.3</v>
      </c>
      <c r="E215" s="11">
        <f t="shared" si="58"/>
        <v>10330.416000000001</v>
      </c>
      <c r="F215" s="11">
        <f t="shared" si="59"/>
        <v>34147.763999999996</v>
      </c>
      <c r="G215" s="11">
        <f t="shared" si="60"/>
        <v>33860.808</v>
      </c>
      <c r="H215" s="11">
        <f t="shared" si="61"/>
        <v>7460.856000000001</v>
      </c>
      <c r="I215" s="11">
        <f t="shared" si="62"/>
        <v>1721.736</v>
      </c>
      <c r="J215" s="11">
        <f t="shared" si="63"/>
        <v>5165.2080000000005</v>
      </c>
      <c r="K215" s="11">
        <f>56*8+56*6*2</f>
        <v>1120</v>
      </c>
      <c r="L215" s="8">
        <f>144.73*2</f>
        <v>289.46</v>
      </c>
      <c r="M215" s="8"/>
      <c r="N215" s="8">
        <f>894*20.77</f>
        <v>18568.38</v>
      </c>
      <c r="O215" s="16">
        <f t="shared" si="53"/>
        <v>6576.075000000001</v>
      </c>
      <c r="P215" s="24">
        <f t="shared" si="64"/>
        <v>119240.703</v>
      </c>
      <c r="Q215" s="24">
        <f>D215*1.27*5+D215*1.34*7</f>
        <v>37615.149000000005</v>
      </c>
      <c r="R215" s="26">
        <f t="shared" si="54"/>
        <v>88238.97</v>
      </c>
      <c r="S215" s="11"/>
      <c r="T215" s="11"/>
      <c r="U215" s="11"/>
      <c r="V215" s="11"/>
      <c r="W215" s="11"/>
      <c r="X215" s="11"/>
      <c r="Y215" s="24">
        <f t="shared" si="65"/>
        <v>0</v>
      </c>
      <c r="Z215" s="24">
        <f t="shared" si="55"/>
        <v>37017.32400000001</v>
      </c>
      <c r="AA215" s="24"/>
      <c r="AB215" s="24">
        <f t="shared" si="51"/>
        <v>14060.844000000001</v>
      </c>
      <c r="AC215" s="26">
        <f t="shared" si="56"/>
        <v>6698.04</v>
      </c>
      <c r="AD215" s="8"/>
      <c r="AE215" s="8"/>
      <c r="AF215" s="26"/>
      <c r="AG215" s="24">
        <f t="shared" si="57"/>
        <v>33860.808</v>
      </c>
      <c r="AH215" s="24">
        <v>57500</v>
      </c>
      <c r="AI215" s="24">
        <f t="shared" si="66"/>
        <v>394231.838</v>
      </c>
    </row>
    <row r="216" spans="1:35" ht="15.75">
      <c r="A216" s="3" t="s">
        <v>133</v>
      </c>
      <c r="B216" s="4" t="s">
        <v>44</v>
      </c>
      <c r="C216" s="3" t="s">
        <v>2</v>
      </c>
      <c r="D216" s="18">
        <v>2271.4</v>
      </c>
      <c r="E216" s="11">
        <f t="shared" si="58"/>
        <v>9812.448</v>
      </c>
      <c r="F216" s="11">
        <f t="shared" si="59"/>
        <v>32435.591999999997</v>
      </c>
      <c r="G216" s="11">
        <f t="shared" si="60"/>
        <v>32163.023999999998</v>
      </c>
      <c r="H216" s="11">
        <f t="shared" si="61"/>
        <v>7086.768000000001</v>
      </c>
      <c r="I216" s="11">
        <f t="shared" si="62"/>
        <v>1635.408</v>
      </c>
      <c r="J216" s="11">
        <f t="shared" si="63"/>
        <v>4906.224</v>
      </c>
      <c r="K216" s="11">
        <f>32*8*4+32*6*2</f>
        <v>1408</v>
      </c>
      <c r="L216" s="8"/>
      <c r="M216" s="8"/>
      <c r="N216" s="8">
        <f>946*20.77</f>
        <v>19648.42</v>
      </c>
      <c r="O216" s="16">
        <f t="shared" si="53"/>
        <v>6246.350000000001</v>
      </c>
      <c r="P216" s="24">
        <f t="shared" si="64"/>
        <v>115342.23399999998</v>
      </c>
      <c r="Q216" s="24">
        <f>D216*1.27*5+D216*1.34*7</f>
        <v>35729.122</v>
      </c>
      <c r="R216" s="26">
        <f t="shared" si="54"/>
        <v>83814.66</v>
      </c>
      <c r="S216" s="11"/>
      <c r="T216" s="11"/>
      <c r="U216" s="11"/>
      <c r="V216" s="11"/>
      <c r="W216" s="11"/>
      <c r="X216" s="11"/>
      <c r="Y216" s="24">
        <f t="shared" si="65"/>
        <v>0</v>
      </c>
      <c r="Z216" s="24">
        <f t="shared" si="55"/>
        <v>35161.272000000004</v>
      </c>
      <c r="AA216" s="24"/>
      <c r="AB216" s="24">
        <f t="shared" si="51"/>
        <v>13355.832000000002</v>
      </c>
      <c r="AC216" s="26">
        <f t="shared" si="56"/>
        <v>6362.32</v>
      </c>
      <c r="AD216" s="8"/>
      <c r="AE216" s="8"/>
      <c r="AF216" s="26"/>
      <c r="AG216" s="24">
        <f t="shared" si="57"/>
        <v>32163.023999999998</v>
      </c>
      <c r="AH216" s="24"/>
      <c r="AI216" s="24">
        <f t="shared" si="66"/>
        <v>321928.464</v>
      </c>
    </row>
    <row r="217" spans="1:35" ht="15.75">
      <c r="A217" s="3" t="s">
        <v>133</v>
      </c>
      <c r="B217" s="4" t="s">
        <v>64</v>
      </c>
      <c r="C217" s="3" t="s">
        <v>2</v>
      </c>
      <c r="D217" s="18">
        <v>2891.4</v>
      </c>
      <c r="E217" s="11">
        <f t="shared" si="58"/>
        <v>12490.848</v>
      </c>
      <c r="F217" s="11">
        <f t="shared" si="59"/>
        <v>41289.192</v>
      </c>
      <c r="G217" s="11">
        <f t="shared" si="60"/>
        <v>40942.224</v>
      </c>
      <c r="H217" s="11">
        <f t="shared" si="61"/>
        <v>9021.168</v>
      </c>
      <c r="I217" s="11">
        <f t="shared" si="62"/>
        <v>2081.808</v>
      </c>
      <c r="J217" s="11">
        <f t="shared" si="63"/>
        <v>6245.424</v>
      </c>
      <c r="K217" s="11">
        <f>32*8*4+32*6*2</f>
        <v>1408</v>
      </c>
      <c r="L217" s="8">
        <f>144.73*3</f>
        <v>434.18999999999994</v>
      </c>
      <c r="M217" s="8"/>
      <c r="N217" s="8"/>
      <c r="O217" s="16">
        <f t="shared" si="53"/>
        <v>7951.350000000001</v>
      </c>
      <c r="P217" s="24">
        <f t="shared" si="64"/>
        <v>121864.20400000001</v>
      </c>
      <c r="Q217" s="24">
        <f>D217*1.27*5+D217*1.34*7</f>
        <v>45481.722</v>
      </c>
      <c r="R217" s="26">
        <f t="shared" si="54"/>
        <v>106692.66</v>
      </c>
      <c r="S217" s="11"/>
      <c r="T217" s="11"/>
      <c r="U217" s="11"/>
      <c r="V217" s="11"/>
      <c r="W217" s="11"/>
      <c r="X217" s="11"/>
      <c r="Y217" s="24">
        <f t="shared" si="65"/>
        <v>0</v>
      </c>
      <c r="Z217" s="24">
        <f t="shared" si="55"/>
        <v>44758.872</v>
      </c>
      <c r="AA217" s="24"/>
      <c r="AB217" s="24">
        <f t="shared" si="51"/>
        <v>17001.432</v>
      </c>
      <c r="AC217" s="26">
        <f t="shared" si="56"/>
        <v>8098.320000000001</v>
      </c>
      <c r="AD217" s="8"/>
      <c r="AE217" s="8"/>
      <c r="AF217" s="26"/>
      <c r="AG217" s="24">
        <f t="shared" si="57"/>
        <v>40942.224</v>
      </c>
      <c r="AH217" s="24"/>
      <c r="AI217" s="24">
        <f t="shared" si="66"/>
        <v>384839.434</v>
      </c>
    </row>
    <row r="218" spans="1:35" ht="15.75">
      <c r="A218" s="3" t="s">
        <v>133</v>
      </c>
      <c r="B218" s="4" t="s">
        <v>66</v>
      </c>
      <c r="C218" s="3" t="s">
        <v>2</v>
      </c>
      <c r="D218" s="18">
        <v>2037.3</v>
      </c>
      <c r="E218" s="11">
        <f t="shared" si="58"/>
        <v>8801.136</v>
      </c>
      <c r="F218" s="11">
        <f t="shared" si="59"/>
        <v>29092.643999999997</v>
      </c>
      <c r="G218" s="11">
        <f t="shared" si="60"/>
        <v>28848.167999999998</v>
      </c>
      <c r="H218" s="11">
        <f t="shared" si="61"/>
        <v>6356.376</v>
      </c>
      <c r="I218" s="11">
        <f t="shared" si="62"/>
        <v>1466.856</v>
      </c>
      <c r="J218" s="11">
        <f t="shared" si="63"/>
        <v>4400.568</v>
      </c>
      <c r="K218" s="11">
        <f>48*8*4+48*6*2</f>
        <v>2112</v>
      </c>
      <c r="L218" s="8">
        <f>144.73*3</f>
        <v>434.18999999999994</v>
      </c>
      <c r="M218" s="8"/>
      <c r="N218" s="8">
        <f>1001*20.77</f>
        <v>20790.77</v>
      </c>
      <c r="O218" s="16">
        <f t="shared" si="53"/>
        <v>5602.575000000001</v>
      </c>
      <c r="P218" s="24">
        <f t="shared" si="64"/>
        <v>107905.28300000001</v>
      </c>
      <c r="Q218" s="24">
        <f>D218*1.27*5+D218*1.34*7</f>
        <v>32046.729</v>
      </c>
      <c r="R218" s="26">
        <f t="shared" si="54"/>
        <v>75176.37</v>
      </c>
      <c r="S218" s="11"/>
      <c r="T218" s="11"/>
      <c r="U218" s="11"/>
      <c r="V218" s="11">
        <f>220*150</f>
        <v>33000</v>
      </c>
      <c r="W218" s="11"/>
      <c r="X218" s="11"/>
      <c r="Y218" s="24">
        <f t="shared" si="65"/>
        <v>33000</v>
      </c>
      <c r="Z218" s="24">
        <f t="shared" si="55"/>
        <v>31537.404000000002</v>
      </c>
      <c r="AA218" s="24"/>
      <c r="AB218" s="24">
        <f t="shared" si="51"/>
        <v>11979.323999999999</v>
      </c>
      <c r="AC218" s="26">
        <f t="shared" si="56"/>
        <v>5706.84</v>
      </c>
      <c r="AD218" s="8"/>
      <c r="AE218" s="8"/>
      <c r="AF218" s="26"/>
      <c r="AG218" s="24">
        <f t="shared" si="57"/>
        <v>28848.167999999998</v>
      </c>
      <c r="AH218" s="24"/>
      <c r="AI218" s="24">
        <f t="shared" si="66"/>
        <v>326200.1180000001</v>
      </c>
    </row>
    <row r="219" spans="1:35" ht="15.75">
      <c r="A219" s="5" t="s">
        <v>134</v>
      </c>
      <c r="B219" s="5" t="s">
        <v>16</v>
      </c>
      <c r="C219" s="3" t="s">
        <v>2</v>
      </c>
      <c r="D219" s="21">
        <v>47.3</v>
      </c>
      <c r="E219" s="11">
        <f t="shared" si="58"/>
        <v>204.33599999999998</v>
      </c>
      <c r="F219" s="11">
        <f t="shared" si="59"/>
        <v>675.444</v>
      </c>
      <c r="G219" s="11">
        <f t="shared" si="60"/>
        <v>669.7679999999999</v>
      </c>
      <c r="H219" s="11">
        <f t="shared" si="61"/>
        <v>147.576</v>
      </c>
      <c r="I219" s="11">
        <f t="shared" si="62"/>
        <v>34.056</v>
      </c>
      <c r="J219" s="11">
        <f t="shared" si="63"/>
        <v>102.16799999999999</v>
      </c>
      <c r="K219" s="11">
        <f>2*6*2</f>
        <v>24</v>
      </c>
      <c r="L219" s="8" t="s">
        <v>162</v>
      </c>
      <c r="M219" s="8"/>
      <c r="N219" s="8"/>
      <c r="O219" s="16">
        <f t="shared" si="53"/>
        <v>130.075</v>
      </c>
      <c r="P219" s="24">
        <f t="shared" si="64"/>
        <v>1987.4229999999998</v>
      </c>
      <c r="Q219" s="24"/>
      <c r="R219" s="26">
        <f t="shared" si="54"/>
        <v>1745.37</v>
      </c>
      <c r="S219" s="11"/>
      <c r="T219" s="11"/>
      <c r="U219" s="11"/>
      <c r="V219" s="11"/>
      <c r="W219" s="11"/>
      <c r="X219" s="11"/>
      <c r="Y219" s="24">
        <f t="shared" si="65"/>
        <v>0</v>
      </c>
      <c r="Z219" s="24">
        <f t="shared" si="55"/>
        <v>732.204</v>
      </c>
      <c r="AA219" s="24"/>
      <c r="AB219" s="24">
        <f t="shared" si="51"/>
        <v>278.124</v>
      </c>
      <c r="AC219" s="26">
        <f t="shared" si="56"/>
        <v>134.84</v>
      </c>
      <c r="AD219" s="8"/>
      <c r="AE219" s="8"/>
      <c r="AF219" s="26"/>
      <c r="AG219" s="24">
        <f t="shared" si="57"/>
        <v>669.7679999999999</v>
      </c>
      <c r="AH219" s="24"/>
      <c r="AI219" s="24">
        <f t="shared" si="66"/>
        <v>5547.728999999999</v>
      </c>
    </row>
    <row r="220" spans="1:35" ht="15.75">
      <c r="A220" s="3" t="s">
        <v>135</v>
      </c>
      <c r="B220" s="4" t="s">
        <v>1</v>
      </c>
      <c r="C220" s="3" t="s">
        <v>2</v>
      </c>
      <c r="D220" s="18">
        <v>2766.2</v>
      </c>
      <c r="E220" s="11">
        <f t="shared" si="58"/>
        <v>11949.983999999999</v>
      </c>
      <c r="F220" s="11">
        <f t="shared" si="59"/>
        <v>39501.335999999996</v>
      </c>
      <c r="G220" s="11">
        <f t="shared" si="60"/>
        <v>39169.39199999999</v>
      </c>
      <c r="H220" s="11">
        <f t="shared" si="61"/>
        <v>8630.544</v>
      </c>
      <c r="I220" s="11">
        <f t="shared" si="62"/>
        <v>1991.6639999999998</v>
      </c>
      <c r="J220" s="11">
        <f t="shared" si="63"/>
        <v>5974.991999999999</v>
      </c>
      <c r="K220" s="11">
        <f>60*8+60*6*2</f>
        <v>1200</v>
      </c>
      <c r="L220" s="8">
        <f>144.73*3</f>
        <v>434.18999999999994</v>
      </c>
      <c r="M220" s="8"/>
      <c r="N220" s="8"/>
      <c r="O220" s="16">
        <f t="shared" si="53"/>
        <v>7607.05</v>
      </c>
      <c r="P220" s="24">
        <f t="shared" si="64"/>
        <v>116459.15199999999</v>
      </c>
      <c r="Q220" s="24">
        <f>D220*1.27*5+D220*1.34*7</f>
        <v>43512.326</v>
      </c>
      <c r="R220" s="26">
        <f t="shared" si="54"/>
        <v>102072.78</v>
      </c>
      <c r="S220" s="11"/>
      <c r="T220" s="11">
        <f>50*135</f>
        <v>6750</v>
      </c>
      <c r="U220" s="11"/>
      <c r="V220" s="11"/>
      <c r="W220" s="11"/>
      <c r="X220" s="11"/>
      <c r="Y220" s="24">
        <f t="shared" si="65"/>
        <v>6750</v>
      </c>
      <c r="Z220" s="24">
        <f t="shared" si="55"/>
        <v>42820.776</v>
      </c>
      <c r="AA220" s="24"/>
      <c r="AB220" s="24">
        <f t="shared" si="51"/>
        <v>16265.255999999998</v>
      </c>
      <c r="AC220" s="26">
        <f t="shared" si="56"/>
        <v>7747.76</v>
      </c>
      <c r="AD220" s="8"/>
      <c r="AE220" s="8"/>
      <c r="AF220" s="26"/>
      <c r="AG220" s="24">
        <f t="shared" si="57"/>
        <v>39169.39199999999</v>
      </c>
      <c r="AH220" s="24"/>
      <c r="AI220" s="24">
        <f t="shared" si="66"/>
        <v>374797.44200000004</v>
      </c>
    </row>
    <row r="221" spans="1:35" ht="15.75">
      <c r="A221" s="3" t="s">
        <v>135</v>
      </c>
      <c r="B221" s="4" t="s">
        <v>70</v>
      </c>
      <c r="C221" s="3" t="s">
        <v>2</v>
      </c>
      <c r="D221" s="18">
        <v>5812.5</v>
      </c>
      <c r="E221" s="11">
        <f t="shared" si="58"/>
        <v>25110</v>
      </c>
      <c r="F221" s="11">
        <f t="shared" si="59"/>
        <v>83002.5</v>
      </c>
      <c r="G221" s="11">
        <f t="shared" si="60"/>
        <v>82305</v>
      </c>
      <c r="H221" s="11">
        <f t="shared" si="61"/>
        <v>18135</v>
      </c>
      <c r="I221" s="11">
        <f t="shared" si="62"/>
        <v>4185</v>
      </c>
      <c r="J221" s="11">
        <f t="shared" si="63"/>
        <v>12555</v>
      </c>
      <c r="K221" s="11">
        <f>119*8+119*6*2</f>
        <v>2380</v>
      </c>
      <c r="L221" s="8">
        <f>144.73*137</f>
        <v>19828.01</v>
      </c>
      <c r="M221" s="8"/>
      <c r="N221" s="8"/>
      <c r="O221" s="16">
        <f t="shared" si="53"/>
        <v>15984.375000000002</v>
      </c>
      <c r="P221" s="24">
        <f t="shared" si="64"/>
        <v>263484.885</v>
      </c>
      <c r="Q221" s="24">
        <f>D221*1.27*5+D221*1.34*7</f>
        <v>91430.625</v>
      </c>
      <c r="R221" s="26">
        <f t="shared" si="54"/>
        <v>214481.25</v>
      </c>
      <c r="S221" s="11"/>
      <c r="T221" s="11"/>
      <c r="U221" s="11"/>
      <c r="V221" s="11"/>
      <c r="W221" s="11"/>
      <c r="X221" s="11"/>
      <c r="Y221" s="24">
        <f t="shared" si="65"/>
        <v>0</v>
      </c>
      <c r="Z221" s="24">
        <f t="shared" si="55"/>
        <v>89977.5</v>
      </c>
      <c r="AA221" s="24"/>
      <c r="AB221" s="24">
        <f t="shared" si="51"/>
        <v>34177.5</v>
      </c>
      <c r="AC221" s="26">
        <f t="shared" si="56"/>
        <v>16277.4</v>
      </c>
      <c r="AD221" s="8"/>
      <c r="AE221" s="8"/>
      <c r="AF221" s="26"/>
      <c r="AG221" s="24">
        <f t="shared" si="57"/>
        <v>82305</v>
      </c>
      <c r="AH221" s="24"/>
      <c r="AI221" s="24">
        <f t="shared" si="66"/>
        <v>792134.16</v>
      </c>
    </row>
    <row r="222" spans="1:35" ht="15.75">
      <c r="A222" s="3" t="s">
        <v>135</v>
      </c>
      <c r="B222" s="4" t="s">
        <v>71</v>
      </c>
      <c r="C222" s="3" t="s">
        <v>2</v>
      </c>
      <c r="D222" s="18">
        <v>2717.5</v>
      </c>
      <c r="E222" s="11">
        <f t="shared" si="58"/>
        <v>11739.599999999999</v>
      </c>
      <c r="F222" s="11">
        <f t="shared" si="59"/>
        <v>38805.899999999994</v>
      </c>
      <c r="G222" s="11">
        <f t="shared" si="60"/>
        <v>38479.799999999996</v>
      </c>
      <c r="H222" s="11">
        <f t="shared" si="61"/>
        <v>8478.6</v>
      </c>
      <c r="I222" s="11">
        <f t="shared" si="62"/>
        <v>1956.6</v>
      </c>
      <c r="J222" s="11">
        <f t="shared" si="63"/>
        <v>5869.799999999999</v>
      </c>
      <c r="K222" s="11">
        <f>60*8+60*6*2</f>
        <v>1200</v>
      </c>
      <c r="L222" s="8">
        <f>144.73*3</f>
        <v>434.18999999999994</v>
      </c>
      <c r="M222" s="8"/>
      <c r="N222" s="8"/>
      <c r="O222" s="16">
        <f t="shared" si="53"/>
        <v>7473.125000000001</v>
      </c>
      <c r="P222" s="24">
        <f t="shared" si="64"/>
        <v>114437.615</v>
      </c>
      <c r="Q222" s="24">
        <f>D222*1.27*5+D222*1.34*7</f>
        <v>42746.275</v>
      </c>
      <c r="R222" s="26">
        <f t="shared" si="54"/>
        <v>100275.75</v>
      </c>
      <c r="S222" s="11"/>
      <c r="T222" s="11"/>
      <c r="U222" s="11"/>
      <c r="V222" s="11"/>
      <c r="W222" s="11"/>
      <c r="X222" s="11"/>
      <c r="Y222" s="24">
        <f t="shared" si="65"/>
        <v>0</v>
      </c>
      <c r="Z222" s="24">
        <f t="shared" si="55"/>
        <v>42066.9</v>
      </c>
      <c r="AA222" s="24"/>
      <c r="AB222" s="24">
        <f t="shared" si="51"/>
        <v>15978.900000000001</v>
      </c>
      <c r="AC222" s="26">
        <f t="shared" si="56"/>
        <v>7611.4</v>
      </c>
      <c r="AD222" s="8"/>
      <c r="AE222" s="8"/>
      <c r="AF222" s="26"/>
      <c r="AG222" s="24">
        <f t="shared" si="57"/>
        <v>38479.799999999996</v>
      </c>
      <c r="AH222" s="24"/>
      <c r="AI222" s="24">
        <f t="shared" si="66"/>
        <v>361596.6400000001</v>
      </c>
    </row>
    <row r="223" spans="1:35" ht="15.75">
      <c r="A223" s="3" t="s">
        <v>135</v>
      </c>
      <c r="B223" s="4" t="s">
        <v>64</v>
      </c>
      <c r="C223" s="3" t="s">
        <v>2</v>
      </c>
      <c r="D223" s="18">
        <v>5704</v>
      </c>
      <c r="E223" s="11">
        <f t="shared" si="58"/>
        <v>24641.28</v>
      </c>
      <c r="F223" s="11">
        <f t="shared" si="59"/>
        <v>81453.12</v>
      </c>
      <c r="G223" s="11">
        <f t="shared" si="60"/>
        <v>80768.63999999998</v>
      </c>
      <c r="H223" s="11">
        <f t="shared" si="61"/>
        <v>17796.48</v>
      </c>
      <c r="I223" s="11">
        <f t="shared" si="62"/>
        <v>4106.88</v>
      </c>
      <c r="J223" s="11">
        <f t="shared" si="63"/>
        <v>12320.64</v>
      </c>
      <c r="K223" s="11">
        <f>118*8+118*6*2</f>
        <v>2360</v>
      </c>
      <c r="L223" s="8">
        <f>144.73*3</f>
        <v>434.18999999999994</v>
      </c>
      <c r="M223" s="8"/>
      <c r="N223" s="8"/>
      <c r="O223" s="16">
        <f t="shared" si="53"/>
        <v>15686.000000000002</v>
      </c>
      <c r="P223" s="24">
        <f t="shared" si="64"/>
        <v>239567.22999999998</v>
      </c>
      <c r="Q223" s="24">
        <f>D223*1.27*5+D223*1.34*7</f>
        <v>89723.92000000001</v>
      </c>
      <c r="R223" s="26">
        <f t="shared" si="54"/>
        <v>210477.6</v>
      </c>
      <c r="S223" s="11"/>
      <c r="T223" s="11"/>
      <c r="U223" s="11"/>
      <c r="V223" s="11"/>
      <c r="W223" s="11">
        <f>4.4*220</f>
        <v>968.0000000000001</v>
      </c>
      <c r="X223" s="11"/>
      <c r="Y223" s="24">
        <f t="shared" si="65"/>
        <v>968.0000000000001</v>
      </c>
      <c r="Z223" s="24">
        <f t="shared" si="55"/>
        <v>88297.92</v>
      </c>
      <c r="AA223" s="24"/>
      <c r="AB223" s="24">
        <f aca="true" t="shared" si="67" ref="AB223:AB255">D223*0.49*12</f>
        <v>33539.520000000004</v>
      </c>
      <c r="AC223" s="26">
        <f t="shared" si="56"/>
        <v>15973.599999999999</v>
      </c>
      <c r="AD223" s="8"/>
      <c r="AE223" s="8"/>
      <c r="AF223" s="26"/>
      <c r="AG223" s="24">
        <f t="shared" si="57"/>
        <v>80768.63999999998</v>
      </c>
      <c r="AH223" s="24">
        <v>57500</v>
      </c>
      <c r="AI223" s="24">
        <f t="shared" si="66"/>
        <v>816816.43</v>
      </c>
    </row>
    <row r="224" spans="1:35" ht="15.75">
      <c r="A224" s="3" t="s">
        <v>135</v>
      </c>
      <c r="B224" s="4" t="s">
        <v>128</v>
      </c>
      <c r="C224" s="3" t="s">
        <v>2</v>
      </c>
      <c r="D224" s="18">
        <v>3447.4</v>
      </c>
      <c r="E224" s="11">
        <f t="shared" si="58"/>
        <v>14892.768</v>
      </c>
      <c r="F224" s="11">
        <f t="shared" si="59"/>
        <v>49228.872</v>
      </c>
      <c r="G224" s="11">
        <f t="shared" si="60"/>
        <v>48815.183999999994</v>
      </c>
      <c r="H224" s="11">
        <f t="shared" si="61"/>
        <v>10755.888</v>
      </c>
      <c r="I224" s="11">
        <f t="shared" si="62"/>
        <v>2482.1279999999997</v>
      </c>
      <c r="J224" s="11">
        <f t="shared" si="63"/>
        <v>7446.384</v>
      </c>
      <c r="K224" s="11">
        <f>75*6*2</f>
        <v>900</v>
      </c>
      <c r="L224" s="8">
        <f>144.73*3</f>
        <v>434.18999999999994</v>
      </c>
      <c r="M224" s="8"/>
      <c r="N224" s="8"/>
      <c r="O224" s="16">
        <f t="shared" si="53"/>
        <v>9480.35</v>
      </c>
      <c r="P224" s="24">
        <f t="shared" si="64"/>
        <v>144435.764</v>
      </c>
      <c r="Q224" s="24">
        <f>D224*1.27*5+D224*1.34*7</f>
        <v>54227.602000000006</v>
      </c>
      <c r="R224" s="26">
        <f t="shared" si="54"/>
        <v>127209.06000000001</v>
      </c>
      <c r="S224" s="11"/>
      <c r="T224" s="11">
        <f>120*135</f>
        <v>16200</v>
      </c>
      <c r="U224" s="11"/>
      <c r="V224" s="11"/>
      <c r="W224" s="11"/>
      <c r="X224" s="11"/>
      <c r="Y224" s="24">
        <f t="shared" si="65"/>
        <v>16200</v>
      </c>
      <c r="Z224" s="24">
        <f t="shared" si="55"/>
        <v>53365.75200000001</v>
      </c>
      <c r="AA224" s="24"/>
      <c r="AB224" s="24">
        <f t="shared" si="67"/>
        <v>20270.712</v>
      </c>
      <c r="AC224" s="26">
        <f t="shared" si="56"/>
        <v>9655.12</v>
      </c>
      <c r="AD224" s="8"/>
      <c r="AE224" s="8"/>
      <c r="AF224" s="26"/>
      <c r="AG224" s="24">
        <f t="shared" si="57"/>
        <v>48815.183999999994</v>
      </c>
      <c r="AH224" s="24"/>
      <c r="AI224" s="24">
        <f t="shared" si="66"/>
        <v>474179.1940000001</v>
      </c>
    </row>
    <row r="225" spans="1:35" ht="15.75">
      <c r="A225" s="5" t="s">
        <v>136</v>
      </c>
      <c r="B225" s="5" t="s">
        <v>68</v>
      </c>
      <c r="C225" s="6" t="s">
        <v>2</v>
      </c>
      <c r="D225" s="21">
        <v>770.4</v>
      </c>
      <c r="E225" s="11">
        <f t="shared" si="58"/>
        <v>3328.1279999999997</v>
      </c>
      <c r="F225" s="11">
        <f t="shared" si="59"/>
        <v>11001.312</v>
      </c>
      <c r="G225" s="11">
        <f t="shared" si="60"/>
        <v>10908.863999999998</v>
      </c>
      <c r="H225" s="11">
        <f t="shared" si="61"/>
        <v>2403.648</v>
      </c>
      <c r="I225" s="11">
        <f t="shared" si="62"/>
        <v>554.688</v>
      </c>
      <c r="J225" s="11">
        <f t="shared" si="63"/>
        <v>1664.0639999999999</v>
      </c>
      <c r="K225" s="11">
        <f>4*6*2</f>
        <v>48</v>
      </c>
      <c r="L225" s="8"/>
      <c r="M225" s="8"/>
      <c r="N225" s="8"/>
      <c r="O225" s="16">
        <f t="shared" si="53"/>
        <v>2118.6000000000004</v>
      </c>
      <c r="P225" s="24">
        <f t="shared" si="64"/>
        <v>32027.303999999996</v>
      </c>
      <c r="Q225" s="24"/>
      <c r="R225" s="26">
        <f t="shared" si="54"/>
        <v>28427.759999999995</v>
      </c>
      <c r="S225" s="11"/>
      <c r="T225" s="11"/>
      <c r="U225" s="11"/>
      <c r="V225" s="11"/>
      <c r="W225" s="11"/>
      <c r="X225" s="11"/>
      <c r="Y225" s="24">
        <f t="shared" si="65"/>
        <v>0</v>
      </c>
      <c r="Z225" s="24">
        <f t="shared" si="55"/>
        <v>11925.792000000001</v>
      </c>
      <c r="AA225" s="24"/>
      <c r="AB225" s="24">
        <f t="shared" si="67"/>
        <v>4529.951999999999</v>
      </c>
      <c r="AC225" s="26">
        <f t="shared" si="56"/>
        <v>2159.5200000000004</v>
      </c>
      <c r="AD225" s="8"/>
      <c r="AE225" s="8"/>
      <c r="AF225" s="26"/>
      <c r="AG225" s="24">
        <f t="shared" si="57"/>
        <v>10908.863999999998</v>
      </c>
      <c r="AH225" s="24">
        <v>57500</v>
      </c>
      <c r="AI225" s="24">
        <f t="shared" si="66"/>
        <v>147479.192</v>
      </c>
    </row>
    <row r="226" spans="1:35" ht="15.75">
      <c r="A226" s="3" t="s">
        <v>136</v>
      </c>
      <c r="B226" s="4" t="s">
        <v>37</v>
      </c>
      <c r="C226" s="3" t="s">
        <v>2</v>
      </c>
      <c r="D226" s="18">
        <v>3239.9</v>
      </c>
      <c r="E226" s="11">
        <f t="shared" si="58"/>
        <v>13996.368</v>
      </c>
      <c r="F226" s="11">
        <f t="shared" si="59"/>
        <v>46265.772</v>
      </c>
      <c r="G226" s="11">
        <f t="shared" si="60"/>
        <v>45876.984</v>
      </c>
      <c r="H226" s="11">
        <f t="shared" si="61"/>
        <v>10108.488000000001</v>
      </c>
      <c r="I226" s="11">
        <f t="shared" si="62"/>
        <v>2332.728</v>
      </c>
      <c r="J226" s="11">
        <f t="shared" si="63"/>
        <v>6998.184</v>
      </c>
      <c r="K226" s="11">
        <f>60*6*2</f>
        <v>720</v>
      </c>
      <c r="L226" s="8">
        <f>144.73*3</f>
        <v>434.18999999999994</v>
      </c>
      <c r="M226" s="8"/>
      <c r="N226" s="8"/>
      <c r="O226" s="16">
        <f t="shared" si="53"/>
        <v>8909.725</v>
      </c>
      <c r="P226" s="24">
        <f t="shared" si="64"/>
        <v>135642.43899999998</v>
      </c>
      <c r="Q226" s="24">
        <f>D226*1.27*5+D226*1.34*7</f>
        <v>50963.627</v>
      </c>
      <c r="R226" s="26">
        <f t="shared" si="54"/>
        <v>119552.31000000001</v>
      </c>
      <c r="S226" s="11"/>
      <c r="T226" s="11"/>
      <c r="U226" s="11"/>
      <c r="V226" s="11"/>
      <c r="W226" s="11"/>
      <c r="X226" s="11"/>
      <c r="Y226" s="24">
        <f t="shared" si="65"/>
        <v>0</v>
      </c>
      <c r="Z226" s="24">
        <f t="shared" si="55"/>
        <v>50153.652</v>
      </c>
      <c r="AA226" s="24"/>
      <c r="AB226" s="24">
        <f t="shared" si="67"/>
        <v>19050.612</v>
      </c>
      <c r="AC226" s="26">
        <f t="shared" si="56"/>
        <v>9074.12</v>
      </c>
      <c r="AD226" s="8"/>
      <c r="AE226" s="8"/>
      <c r="AF226" s="26"/>
      <c r="AG226" s="24">
        <f t="shared" si="57"/>
        <v>45876.984</v>
      </c>
      <c r="AH226" s="24">
        <v>57500</v>
      </c>
      <c r="AI226" s="24">
        <f t="shared" si="66"/>
        <v>487813.744</v>
      </c>
    </row>
    <row r="227" spans="1:35" ht="15.75">
      <c r="A227" s="5" t="s">
        <v>136</v>
      </c>
      <c r="B227" s="5" t="s">
        <v>80</v>
      </c>
      <c r="C227" s="6" t="s">
        <v>2</v>
      </c>
      <c r="D227" s="19">
        <v>117.5</v>
      </c>
      <c r="E227" s="11">
        <f t="shared" si="58"/>
        <v>507.59999999999997</v>
      </c>
      <c r="F227" s="11">
        <f t="shared" si="59"/>
        <v>1677.8999999999999</v>
      </c>
      <c r="G227" s="11">
        <f t="shared" si="60"/>
        <v>1663.8000000000002</v>
      </c>
      <c r="H227" s="11">
        <f t="shared" si="61"/>
        <v>366.6</v>
      </c>
      <c r="I227" s="11">
        <f t="shared" si="62"/>
        <v>84.6</v>
      </c>
      <c r="J227" s="11">
        <f t="shared" si="63"/>
        <v>253.79999999999998</v>
      </c>
      <c r="K227" s="11">
        <f>2*230</f>
        <v>460</v>
      </c>
      <c r="L227" s="8"/>
      <c r="M227" s="8"/>
      <c r="N227" s="8"/>
      <c r="O227" s="16">
        <f t="shared" si="53"/>
        <v>323.125</v>
      </c>
      <c r="P227" s="24">
        <f t="shared" si="64"/>
        <v>5337.425000000001</v>
      </c>
      <c r="Q227" s="24"/>
      <c r="R227" s="26">
        <f t="shared" si="54"/>
        <v>4335.75</v>
      </c>
      <c r="S227" s="11"/>
      <c r="T227" s="11"/>
      <c r="U227" s="11"/>
      <c r="V227" s="11"/>
      <c r="W227" s="11"/>
      <c r="X227" s="11"/>
      <c r="Y227" s="24">
        <f t="shared" si="65"/>
        <v>0</v>
      </c>
      <c r="Z227" s="24">
        <f t="shared" si="55"/>
        <v>1818.9</v>
      </c>
      <c r="AA227" s="24"/>
      <c r="AB227" s="24">
        <f t="shared" si="67"/>
        <v>690.9</v>
      </c>
      <c r="AC227" s="26">
        <f t="shared" si="56"/>
        <v>331.4</v>
      </c>
      <c r="AD227" s="8"/>
      <c r="AE227" s="8"/>
      <c r="AF227" s="26"/>
      <c r="AG227" s="24">
        <f t="shared" si="57"/>
        <v>1663.8000000000002</v>
      </c>
      <c r="AH227" s="24"/>
      <c r="AI227" s="24">
        <f t="shared" si="66"/>
        <v>14178.175</v>
      </c>
    </row>
    <row r="228" spans="1:35" ht="15.75">
      <c r="A228" s="3" t="s">
        <v>136</v>
      </c>
      <c r="B228" s="4" t="s">
        <v>66</v>
      </c>
      <c r="C228" s="3" t="s">
        <v>2</v>
      </c>
      <c r="D228" s="18">
        <v>646.6</v>
      </c>
      <c r="E228" s="11">
        <f t="shared" si="58"/>
        <v>2793.312</v>
      </c>
      <c r="F228" s="11">
        <f t="shared" si="59"/>
        <v>9233.448</v>
      </c>
      <c r="G228" s="11">
        <f t="shared" si="60"/>
        <v>9155.856</v>
      </c>
      <c r="H228" s="11">
        <f t="shared" si="61"/>
        <v>2017.3920000000003</v>
      </c>
      <c r="I228" s="11">
        <f t="shared" si="62"/>
        <v>465.552</v>
      </c>
      <c r="J228" s="11">
        <f t="shared" si="63"/>
        <v>1396.656</v>
      </c>
      <c r="K228" s="11">
        <f>16*6*2</f>
        <v>192</v>
      </c>
      <c r="L228" s="8"/>
      <c r="M228" s="8"/>
      <c r="N228" s="8"/>
      <c r="O228" s="16">
        <f t="shared" si="53"/>
        <v>1778.1500000000003</v>
      </c>
      <c r="P228" s="24">
        <f t="shared" si="64"/>
        <v>27032.366</v>
      </c>
      <c r="Q228" s="24"/>
      <c r="R228" s="26">
        <f t="shared" si="54"/>
        <v>23859.54</v>
      </c>
      <c r="S228" s="11"/>
      <c r="T228" s="11"/>
      <c r="U228" s="11"/>
      <c r="V228" s="11"/>
      <c r="W228" s="11"/>
      <c r="X228" s="11"/>
      <c r="Y228" s="24">
        <f t="shared" si="65"/>
        <v>0</v>
      </c>
      <c r="Z228" s="24">
        <f t="shared" si="55"/>
        <v>10009.368</v>
      </c>
      <c r="AA228" s="24"/>
      <c r="AB228" s="24">
        <f t="shared" si="67"/>
        <v>3802.008</v>
      </c>
      <c r="AC228" s="26">
        <f t="shared" si="56"/>
        <v>1812.8800000000003</v>
      </c>
      <c r="AD228" s="8"/>
      <c r="AE228" s="8"/>
      <c r="AF228" s="26"/>
      <c r="AG228" s="24">
        <f t="shared" si="57"/>
        <v>9155.856</v>
      </c>
      <c r="AH228" s="24">
        <v>57500</v>
      </c>
      <c r="AI228" s="24">
        <f t="shared" si="66"/>
        <v>133172.018</v>
      </c>
    </row>
    <row r="229" spans="1:35" ht="15.75">
      <c r="A229" s="3" t="s">
        <v>137</v>
      </c>
      <c r="B229" s="4" t="s">
        <v>69</v>
      </c>
      <c r="C229" s="3" t="s">
        <v>65</v>
      </c>
      <c r="D229" s="18">
        <v>17755</v>
      </c>
      <c r="E229" s="11">
        <f t="shared" si="58"/>
        <v>76701.6</v>
      </c>
      <c r="F229" s="11">
        <f t="shared" si="59"/>
        <v>253541.40000000002</v>
      </c>
      <c r="G229" s="11">
        <f t="shared" si="60"/>
        <v>251410.8</v>
      </c>
      <c r="H229" s="11">
        <f t="shared" si="61"/>
        <v>55395.600000000006</v>
      </c>
      <c r="I229" s="11">
        <f t="shared" si="62"/>
        <v>12783.599999999999</v>
      </c>
      <c r="J229" s="11">
        <f t="shared" si="63"/>
        <v>38350.8</v>
      </c>
      <c r="K229" s="11">
        <f>358*6*2</f>
        <v>4296</v>
      </c>
      <c r="L229" s="8">
        <f>144.73*2</f>
        <v>289.46</v>
      </c>
      <c r="M229" s="8">
        <f>10*142.42*1.5</f>
        <v>2136.2999999999997</v>
      </c>
      <c r="N229" s="8"/>
      <c r="O229" s="16">
        <f t="shared" si="53"/>
        <v>48826.25</v>
      </c>
      <c r="P229" s="24">
        <f t="shared" si="64"/>
        <v>743731.81</v>
      </c>
      <c r="Q229" s="24">
        <f aca="true" t="shared" si="68" ref="Q229:Q241">D229*1.27*5+D229*1.34*7</f>
        <v>279286.15</v>
      </c>
      <c r="R229" s="26">
        <f t="shared" si="54"/>
        <v>655159.5</v>
      </c>
      <c r="S229" s="11"/>
      <c r="T229" s="11"/>
      <c r="U229" s="11"/>
      <c r="V229" s="11"/>
      <c r="W229" s="11"/>
      <c r="X229" s="11"/>
      <c r="Y229" s="24">
        <f t="shared" si="65"/>
        <v>0</v>
      </c>
      <c r="Z229" s="24">
        <f t="shared" si="55"/>
        <v>274847.4</v>
      </c>
      <c r="AA229" s="24">
        <f>D229*1.01*5+0.96*D229*7</f>
        <v>208976.34999999998</v>
      </c>
      <c r="AB229" s="24">
        <f t="shared" si="67"/>
        <v>104399.40000000001</v>
      </c>
      <c r="AC229" s="26">
        <f t="shared" si="56"/>
        <v>49716.4</v>
      </c>
      <c r="AD229" s="8">
        <v>301040.89</v>
      </c>
      <c r="AE229" s="11">
        <v>17379.4</v>
      </c>
      <c r="AF229" s="26">
        <f>SUM(AD229:AE229)</f>
        <v>318420.29000000004</v>
      </c>
      <c r="AG229" s="24">
        <f t="shared" si="57"/>
        <v>251410.8</v>
      </c>
      <c r="AH229" s="24"/>
      <c r="AI229" s="24">
        <f t="shared" si="66"/>
        <v>2885948.0999999996</v>
      </c>
    </row>
    <row r="230" spans="1:35" ht="15.75">
      <c r="A230" s="3" t="s">
        <v>137</v>
      </c>
      <c r="B230" s="4" t="s">
        <v>69</v>
      </c>
      <c r="C230" s="3" t="s">
        <v>110</v>
      </c>
      <c r="D230" s="18">
        <v>2140.7</v>
      </c>
      <c r="E230" s="11">
        <f t="shared" si="58"/>
        <v>9247.823999999999</v>
      </c>
      <c r="F230" s="11">
        <f t="shared" si="59"/>
        <v>30569.195999999996</v>
      </c>
      <c r="G230" s="11">
        <f t="shared" si="60"/>
        <v>30312.311999999998</v>
      </c>
      <c r="H230" s="11">
        <f t="shared" si="61"/>
        <v>6678.984</v>
      </c>
      <c r="I230" s="11">
        <f t="shared" si="62"/>
        <v>1541.3039999999996</v>
      </c>
      <c r="J230" s="11">
        <f t="shared" si="63"/>
        <v>4623.911999999999</v>
      </c>
      <c r="K230" s="11">
        <f>72*6</f>
        <v>432</v>
      </c>
      <c r="L230" s="8">
        <f>144.73*42</f>
        <v>6078.66</v>
      </c>
      <c r="M230" s="8">
        <f>1*142.42*1.5</f>
        <v>213.63</v>
      </c>
      <c r="N230" s="8"/>
      <c r="O230" s="16">
        <f t="shared" si="53"/>
        <v>5886.925</v>
      </c>
      <c r="P230" s="24">
        <f t="shared" si="64"/>
        <v>95584.747</v>
      </c>
      <c r="Q230" s="24">
        <f t="shared" si="68"/>
        <v>33673.210999999996</v>
      </c>
      <c r="R230" s="26">
        <f t="shared" si="54"/>
        <v>78991.82999999999</v>
      </c>
      <c r="S230" s="11"/>
      <c r="T230" s="11">
        <f>90*135</f>
        <v>12150</v>
      </c>
      <c r="U230" s="11"/>
      <c r="V230" s="11"/>
      <c r="W230" s="11"/>
      <c r="X230" s="11"/>
      <c r="Y230" s="24">
        <f t="shared" si="65"/>
        <v>12150</v>
      </c>
      <c r="Z230" s="24">
        <f t="shared" si="55"/>
        <v>33138.03599999999</v>
      </c>
      <c r="AA230" s="24"/>
      <c r="AB230" s="24">
        <f t="shared" si="67"/>
        <v>12587.315999999999</v>
      </c>
      <c r="AC230" s="26">
        <f t="shared" si="56"/>
        <v>5996.36</v>
      </c>
      <c r="AD230" s="8">
        <v>30104.09</v>
      </c>
      <c r="AE230" s="8">
        <v>1737.94</v>
      </c>
      <c r="AF230" s="26">
        <f>SUM(AD230:AE230)</f>
        <v>31842.03</v>
      </c>
      <c r="AG230" s="24">
        <f t="shared" si="57"/>
        <v>30312.311999999998</v>
      </c>
      <c r="AH230" s="24"/>
      <c r="AI230" s="24">
        <f t="shared" si="66"/>
        <v>334275.842</v>
      </c>
    </row>
    <row r="231" spans="1:35" ht="15.75">
      <c r="A231" s="3" t="s">
        <v>137</v>
      </c>
      <c r="B231" s="4" t="s">
        <v>35</v>
      </c>
      <c r="C231" s="3" t="s">
        <v>2</v>
      </c>
      <c r="D231" s="18">
        <v>9761.7</v>
      </c>
      <c r="E231" s="11">
        <f t="shared" si="58"/>
        <v>42170.544</v>
      </c>
      <c r="F231" s="11">
        <f t="shared" si="59"/>
        <v>139397.076</v>
      </c>
      <c r="G231" s="11">
        <f t="shared" si="60"/>
        <v>138225.67200000002</v>
      </c>
      <c r="H231" s="11">
        <f t="shared" si="61"/>
        <v>30456.504000000004</v>
      </c>
      <c r="I231" s="11">
        <f t="shared" si="62"/>
        <v>7028.424</v>
      </c>
      <c r="J231" s="11">
        <f t="shared" si="63"/>
        <v>21085.272</v>
      </c>
      <c r="K231" s="11">
        <f>152*6*2</f>
        <v>1824</v>
      </c>
      <c r="L231" s="8">
        <f>144.73*2</f>
        <v>289.46</v>
      </c>
      <c r="M231" s="8">
        <f>5*142.42*1.5</f>
        <v>1068.1499999999999</v>
      </c>
      <c r="N231" s="8"/>
      <c r="O231" s="16">
        <f t="shared" si="53"/>
        <v>26844.675000000003</v>
      </c>
      <c r="P231" s="24">
        <f t="shared" si="64"/>
        <v>408389.77700000006</v>
      </c>
      <c r="Q231" s="24">
        <f t="shared" si="68"/>
        <v>153551.54100000003</v>
      </c>
      <c r="R231" s="26">
        <f t="shared" si="54"/>
        <v>360206.73000000004</v>
      </c>
      <c r="S231" s="11">
        <f>180*120</f>
        <v>21600</v>
      </c>
      <c r="T231" s="11"/>
      <c r="U231" s="11"/>
      <c r="V231" s="11"/>
      <c r="W231" s="11"/>
      <c r="X231" s="11">
        <v>65000</v>
      </c>
      <c r="Y231" s="24">
        <f t="shared" si="65"/>
        <v>86600</v>
      </c>
      <c r="Z231" s="24">
        <f t="shared" si="55"/>
        <v>151111.116</v>
      </c>
      <c r="AA231" s="24"/>
      <c r="AB231" s="24">
        <f t="shared" si="67"/>
        <v>57398.796</v>
      </c>
      <c r="AC231" s="26">
        <f t="shared" si="56"/>
        <v>27335.160000000003</v>
      </c>
      <c r="AD231" s="8">
        <v>150520.45</v>
      </c>
      <c r="AE231" s="8">
        <v>8689.7</v>
      </c>
      <c r="AF231" s="26">
        <f>SUM(AD231:AE231)</f>
        <v>159210.15000000002</v>
      </c>
      <c r="AG231" s="24">
        <f t="shared" si="57"/>
        <v>138225.67200000002</v>
      </c>
      <c r="AH231" s="24"/>
      <c r="AI231" s="24">
        <f t="shared" si="66"/>
        <v>1542028.942</v>
      </c>
    </row>
    <row r="232" spans="1:35" ht="15.75">
      <c r="A232" s="3" t="s">
        <v>137</v>
      </c>
      <c r="B232" s="4" t="s">
        <v>71</v>
      </c>
      <c r="C232" s="3" t="s">
        <v>65</v>
      </c>
      <c r="D232" s="18">
        <v>2978.7</v>
      </c>
      <c r="E232" s="11">
        <f t="shared" si="58"/>
        <v>12867.983999999999</v>
      </c>
      <c r="F232" s="11">
        <f t="shared" si="59"/>
        <v>42535.835999999996</v>
      </c>
      <c r="G232" s="11">
        <f t="shared" si="60"/>
        <v>42178.39199999999</v>
      </c>
      <c r="H232" s="11">
        <f t="shared" si="61"/>
        <v>9293.544</v>
      </c>
      <c r="I232" s="11">
        <f t="shared" si="62"/>
        <v>2144.6639999999998</v>
      </c>
      <c r="J232" s="11">
        <f t="shared" si="63"/>
        <v>6433.991999999999</v>
      </c>
      <c r="K232" s="11">
        <f>48*8*4+48*6*2</f>
        <v>2112</v>
      </c>
      <c r="L232" s="8">
        <f>144.73*3</f>
        <v>434.18999999999994</v>
      </c>
      <c r="M232" s="8"/>
      <c r="N232" s="8"/>
      <c r="O232" s="16">
        <f t="shared" si="53"/>
        <v>8191.425</v>
      </c>
      <c r="P232" s="24">
        <f t="shared" si="64"/>
        <v>126192.02699999999</v>
      </c>
      <c r="Q232" s="24">
        <f t="shared" si="68"/>
        <v>46854.951</v>
      </c>
      <c r="R232" s="26">
        <f t="shared" si="54"/>
        <v>109914.03</v>
      </c>
      <c r="S232" s="11"/>
      <c r="T232" s="11"/>
      <c r="U232" s="11"/>
      <c r="V232" s="11"/>
      <c r="W232" s="11"/>
      <c r="X232" s="11"/>
      <c r="Y232" s="24">
        <f t="shared" si="65"/>
        <v>0</v>
      </c>
      <c r="Z232" s="24">
        <f t="shared" si="55"/>
        <v>46110.276</v>
      </c>
      <c r="AA232" s="24"/>
      <c r="AB232" s="24">
        <f t="shared" si="67"/>
        <v>17514.755999999998</v>
      </c>
      <c r="AC232" s="26">
        <f t="shared" si="56"/>
        <v>8342.76</v>
      </c>
      <c r="AD232" s="8">
        <v>58341.75</v>
      </c>
      <c r="AE232" s="8">
        <v>3475.88</v>
      </c>
      <c r="AF232" s="26">
        <f>SUM(AD232:AE232)</f>
        <v>61817.63</v>
      </c>
      <c r="AG232" s="24">
        <f t="shared" si="57"/>
        <v>42178.39199999999</v>
      </c>
      <c r="AH232" s="24"/>
      <c r="AI232" s="24">
        <f t="shared" si="66"/>
        <v>458924.82200000004</v>
      </c>
    </row>
    <row r="233" spans="1:35" ht="15.75">
      <c r="A233" s="3" t="s">
        <v>137</v>
      </c>
      <c r="B233" s="4" t="s">
        <v>71</v>
      </c>
      <c r="C233" s="3" t="s">
        <v>110</v>
      </c>
      <c r="D233" s="18">
        <v>4452.4</v>
      </c>
      <c r="E233" s="11">
        <f t="shared" si="58"/>
        <v>19234.368</v>
      </c>
      <c r="F233" s="11">
        <f t="shared" si="59"/>
        <v>63580.272</v>
      </c>
      <c r="G233" s="11">
        <f t="shared" si="60"/>
        <v>63045.984</v>
      </c>
      <c r="H233" s="11">
        <f t="shared" si="61"/>
        <v>13891.488000000001</v>
      </c>
      <c r="I233" s="11">
        <f t="shared" si="62"/>
        <v>3205.727999999999</v>
      </c>
      <c r="J233" s="11">
        <f t="shared" si="63"/>
        <v>9617.184</v>
      </c>
      <c r="K233" s="11">
        <f>90*8+90*6*0</f>
        <v>720</v>
      </c>
      <c r="L233" s="8">
        <f>144.73*3</f>
        <v>434.18999999999994</v>
      </c>
      <c r="M233" s="8"/>
      <c r="N233" s="8"/>
      <c r="O233" s="16">
        <f t="shared" si="53"/>
        <v>12244.1</v>
      </c>
      <c r="P233" s="24">
        <f t="shared" si="64"/>
        <v>185973.31400000004</v>
      </c>
      <c r="Q233" s="24">
        <f t="shared" si="68"/>
        <v>70036.252</v>
      </c>
      <c r="R233" s="26">
        <f t="shared" si="54"/>
        <v>164293.56</v>
      </c>
      <c r="S233" s="11">
        <f>90*120</f>
        <v>10800</v>
      </c>
      <c r="T233" s="11">
        <f>200*135</f>
        <v>27000</v>
      </c>
      <c r="U233" s="11"/>
      <c r="V233" s="11"/>
      <c r="W233" s="11">
        <f>2.2*220</f>
        <v>484.00000000000006</v>
      </c>
      <c r="X233" s="11"/>
      <c r="Y233" s="24">
        <f t="shared" si="65"/>
        <v>38284</v>
      </c>
      <c r="Z233" s="24">
        <f t="shared" si="55"/>
        <v>68923.152</v>
      </c>
      <c r="AA233" s="24"/>
      <c r="AB233" s="24">
        <f t="shared" si="67"/>
        <v>26180.112</v>
      </c>
      <c r="AC233" s="26">
        <f t="shared" si="56"/>
        <v>12469.12</v>
      </c>
      <c r="AD233" s="8"/>
      <c r="AE233" s="8"/>
      <c r="AF233" s="26"/>
      <c r="AG233" s="24">
        <f t="shared" si="57"/>
        <v>63045.984</v>
      </c>
      <c r="AH233" s="24"/>
      <c r="AI233" s="24">
        <f t="shared" si="66"/>
        <v>629205.494</v>
      </c>
    </row>
    <row r="234" spans="1:35" ht="15.75">
      <c r="A234" s="3" t="s">
        <v>137</v>
      </c>
      <c r="B234" s="4" t="s">
        <v>71</v>
      </c>
      <c r="C234" s="3" t="s">
        <v>113</v>
      </c>
      <c r="D234" s="18">
        <v>4396.9</v>
      </c>
      <c r="E234" s="11">
        <f t="shared" si="58"/>
        <v>18994.607999999997</v>
      </c>
      <c r="F234" s="11">
        <f t="shared" si="59"/>
        <v>62787.731999999996</v>
      </c>
      <c r="G234" s="11">
        <f t="shared" si="60"/>
        <v>62260.10399999999</v>
      </c>
      <c r="H234" s="11">
        <f t="shared" si="61"/>
        <v>13718.328</v>
      </c>
      <c r="I234" s="11">
        <f t="shared" si="62"/>
        <v>3165.7679999999996</v>
      </c>
      <c r="J234" s="11">
        <f t="shared" si="63"/>
        <v>9497.303999999998</v>
      </c>
      <c r="K234" s="11">
        <f>90*8+90*6*2</f>
        <v>1800</v>
      </c>
      <c r="L234" s="8">
        <f>144.73*3</f>
        <v>434.18999999999994</v>
      </c>
      <c r="M234" s="8"/>
      <c r="N234" s="8"/>
      <c r="O234" s="16">
        <f t="shared" si="53"/>
        <v>12091.475</v>
      </c>
      <c r="P234" s="24">
        <f t="shared" si="64"/>
        <v>184749.50900000002</v>
      </c>
      <c r="Q234" s="24">
        <f t="shared" si="68"/>
        <v>69163.237</v>
      </c>
      <c r="R234" s="26">
        <f t="shared" si="54"/>
        <v>162245.61</v>
      </c>
      <c r="S234" s="11"/>
      <c r="T234" s="11"/>
      <c r="U234" s="11"/>
      <c r="V234" s="11"/>
      <c r="W234" s="11"/>
      <c r="X234" s="11"/>
      <c r="Y234" s="24">
        <f t="shared" si="65"/>
        <v>0</v>
      </c>
      <c r="Z234" s="24">
        <f t="shared" si="55"/>
        <v>68064.01199999999</v>
      </c>
      <c r="AA234" s="24"/>
      <c r="AB234" s="24">
        <f t="shared" si="67"/>
        <v>25853.771999999997</v>
      </c>
      <c r="AC234" s="26">
        <f t="shared" si="56"/>
        <v>12313.72</v>
      </c>
      <c r="AD234" s="8"/>
      <c r="AE234" s="8"/>
      <c r="AF234" s="26"/>
      <c r="AG234" s="24">
        <f t="shared" si="57"/>
        <v>62260.10399999999</v>
      </c>
      <c r="AH234" s="24">
        <v>57500</v>
      </c>
      <c r="AI234" s="24">
        <f t="shared" si="66"/>
        <v>642149.9639999999</v>
      </c>
    </row>
    <row r="235" spans="1:35" ht="15.75">
      <c r="A235" s="3" t="s">
        <v>137</v>
      </c>
      <c r="B235" s="4" t="s">
        <v>3</v>
      </c>
      <c r="C235" s="3" t="s">
        <v>65</v>
      </c>
      <c r="D235" s="18">
        <v>6373.9</v>
      </c>
      <c r="E235" s="11">
        <f t="shared" si="58"/>
        <v>27535.248</v>
      </c>
      <c r="F235" s="11">
        <f t="shared" si="59"/>
        <v>91019.29199999999</v>
      </c>
      <c r="G235" s="11">
        <f t="shared" si="60"/>
        <v>90254.424</v>
      </c>
      <c r="H235" s="11">
        <f t="shared" si="61"/>
        <v>19886.568</v>
      </c>
      <c r="I235" s="11">
        <f t="shared" si="62"/>
        <v>4589.208</v>
      </c>
      <c r="J235" s="11">
        <f t="shared" si="63"/>
        <v>13767.624</v>
      </c>
      <c r="K235" s="11">
        <f>129*8+129*6*2</f>
        <v>2580</v>
      </c>
      <c r="L235" s="8">
        <f>144.73*3</f>
        <v>434.18999999999994</v>
      </c>
      <c r="M235" s="8"/>
      <c r="N235" s="8"/>
      <c r="O235" s="16">
        <f t="shared" si="53"/>
        <v>17528.225</v>
      </c>
      <c r="P235" s="24">
        <f t="shared" si="64"/>
        <v>267594.779</v>
      </c>
      <c r="Q235" s="24">
        <f t="shared" si="68"/>
        <v>100261.447</v>
      </c>
      <c r="R235" s="26">
        <f t="shared" si="54"/>
        <v>235196.90999999997</v>
      </c>
      <c r="S235" s="11"/>
      <c r="T235" s="11"/>
      <c r="U235" s="11"/>
      <c r="V235" s="11"/>
      <c r="W235" s="11"/>
      <c r="X235" s="11"/>
      <c r="Y235" s="24">
        <f t="shared" si="65"/>
        <v>0</v>
      </c>
      <c r="Z235" s="24">
        <f t="shared" si="55"/>
        <v>98667.97200000001</v>
      </c>
      <c r="AA235" s="24"/>
      <c r="AB235" s="24">
        <f t="shared" si="67"/>
        <v>37478.532</v>
      </c>
      <c r="AC235" s="26">
        <f t="shared" si="56"/>
        <v>17849.32</v>
      </c>
      <c r="AD235" s="8"/>
      <c r="AE235" s="8"/>
      <c r="AF235" s="26"/>
      <c r="AG235" s="24">
        <f t="shared" si="57"/>
        <v>90254.424</v>
      </c>
      <c r="AH235" s="24">
        <v>57500</v>
      </c>
      <c r="AI235" s="24">
        <f t="shared" si="66"/>
        <v>904803.384</v>
      </c>
    </row>
    <row r="236" spans="1:35" ht="15.75">
      <c r="A236" s="3" t="s">
        <v>137</v>
      </c>
      <c r="B236" s="4" t="s">
        <v>3</v>
      </c>
      <c r="C236" s="3" t="s">
        <v>110</v>
      </c>
      <c r="D236" s="18">
        <v>2661.5</v>
      </c>
      <c r="E236" s="11">
        <f t="shared" si="58"/>
        <v>11497.68</v>
      </c>
      <c r="F236" s="11">
        <f t="shared" si="59"/>
        <v>38006.22</v>
      </c>
      <c r="G236" s="11">
        <f t="shared" si="60"/>
        <v>37686.84</v>
      </c>
      <c r="H236" s="11">
        <f t="shared" si="61"/>
        <v>8303.880000000001</v>
      </c>
      <c r="I236" s="11">
        <f t="shared" si="62"/>
        <v>1916.28</v>
      </c>
      <c r="J236" s="11">
        <f t="shared" si="63"/>
        <v>5748.84</v>
      </c>
      <c r="K236" s="11">
        <f>60*8+60*6*2</f>
        <v>1200</v>
      </c>
      <c r="L236" s="8">
        <f>144.73*2</f>
        <v>289.46</v>
      </c>
      <c r="M236" s="8"/>
      <c r="N236" s="8"/>
      <c r="O236" s="16">
        <f t="shared" si="53"/>
        <v>7319.125</v>
      </c>
      <c r="P236" s="24">
        <f t="shared" si="64"/>
        <v>111968.325</v>
      </c>
      <c r="Q236" s="24">
        <f t="shared" si="68"/>
        <v>41865.395000000004</v>
      </c>
      <c r="R236" s="26">
        <f t="shared" si="54"/>
        <v>98209.35</v>
      </c>
      <c r="S236" s="11">
        <f>40*120</f>
        <v>4800</v>
      </c>
      <c r="T236" s="11"/>
      <c r="U236" s="11"/>
      <c r="V236" s="11"/>
      <c r="W236" s="11"/>
      <c r="X236" s="11"/>
      <c r="Y236" s="24">
        <f t="shared" si="65"/>
        <v>4800</v>
      </c>
      <c r="Z236" s="24">
        <f t="shared" si="55"/>
        <v>41200.020000000004</v>
      </c>
      <c r="AA236" s="24"/>
      <c r="AB236" s="24">
        <f t="shared" si="67"/>
        <v>15649.619999999999</v>
      </c>
      <c r="AC236" s="26">
        <f t="shared" si="56"/>
        <v>7454.6</v>
      </c>
      <c r="AD236" s="8"/>
      <c r="AE236" s="8"/>
      <c r="AF236" s="26"/>
      <c r="AG236" s="24">
        <f t="shared" si="57"/>
        <v>37686.84</v>
      </c>
      <c r="AH236" s="24">
        <v>57500</v>
      </c>
      <c r="AI236" s="24">
        <f t="shared" si="66"/>
        <v>416334.15</v>
      </c>
    </row>
    <row r="237" spans="1:35" ht="15.75">
      <c r="A237" s="3" t="s">
        <v>137</v>
      </c>
      <c r="B237" s="4" t="s">
        <v>3</v>
      </c>
      <c r="C237" s="3" t="s">
        <v>138</v>
      </c>
      <c r="D237" s="18">
        <v>4534.7</v>
      </c>
      <c r="E237" s="11">
        <f t="shared" si="58"/>
        <v>19589.904</v>
      </c>
      <c r="F237" s="11">
        <f t="shared" si="59"/>
        <v>64755.515999999996</v>
      </c>
      <c r="G237" s="11">
        <f t="shared" si="60"/>
        <v>64211.352</v>
      </c>
      <c r="H237" s="11">
        <f t="shared" si="61"/>
        <v>14148.264</v>
      </c>
      <c r="I237" s="11">
        <f t="shared" si="62"/>
        <v>3264.984</v>
      </c>
      <c r="J237" s="11">
        <f t="shared" si="63"/>
        <v>9794.952</v>
      </c>
      <c r="K237" s="11">
        <f>90*8+90*6*2</f>
        <v>1800</v>
      </c>
      <c r="L237" s="8">
        <f>144.73*3</f>
        <v>434.18999999999994</v>
      </c>
      <c r="M237" s="8"/>
      <c r="N237" s="8"/>
      <c r="O237" s="16">
        <f t="shared" si="53"/>
        <v>12470.425</v>
      </c>
      <c r="P237" s="24">
        <f t="shared" si="64"/>
        <v>190469.58699999997</v>
      </c>
      <c r="Q237" s="24">
        <f t="shared" si="68"/>
        <v>71330.831</v>
      </c>
      <c r="R237" s="26">
        <f t="shared" si="54"/>
        <v>167330.43</v>
      </c>
      <c r="S237" s="11">
        <f>120*120</f>
        <v>14400</v>
      </c>
      <c r="T237" s="11">
        <f>50*135</f>
        <v>6750</v>
      </c>
      <c r="U237" s="11"/>
      <c r="V237" s="11"/>
      <c r="W237" s="11"/>
      <c r="X237" s="11"/>
      <c r="Y237" s="24">
        <f t="shared" si="65"/>
        <v>21150</v>
      </c>
      <c r="Z237" s="24">
        <f t="shared" si="55"/>
        <v>70197.156</v>
      </c>
      <c r="AA237" s="24"/>
      <c r="AB237" s="24">
        <f t="shared" si="67"/>
        <v>26664.035999999996</v>
      </c>
      <c r="AC237" s="26">
        <f t="shared" si="56"/>
        <v>12699.56</v>
      </c>
      <c r="AD237" s="8"/>
      <c r="AE237" s="8"/>
      <c r="AF237" s="26"/>
      <c r="AG237" s="24">
        <f t="shared" si="57"/>
        <v>64211.352</v>
      </c>
      <c r="AH237" s="24">
        <v>57500</v>
      </c>
      <c r="AI237" s="24">
        <f t="shared" si="66"/>
        <v>681552.952</v>
      </c>
    </row>
    <row r="238" spans="1:35" ht="15.75">
      <c r="A238" s="3" t="s">
        <v>139</v>
      </c>
      <c r="B238" s="4" t="s">
        <v>40</v>
      </c>
      <c r="C238" s="3" t="s">
        <v>2</v>
      </c>
      <c r="D238" s="18">
        <v>50.2</v>
      </c>
      <c r="E238" s="11">
        <f t="shared" si="58"/>
        <v>216.86399999999998</v>
      </c>
      <c r="F238" s="11">
        <f t="shared" si="59"/>
        <v>716.856</v>
      </c>
      <c r="G238" s="11">
        <f t="shared" si="60"/>
        <v>710.832</v>
      </c>
      <c r="H238" s="11">
        <f t="shared" si="61"/>
        <v>156.62400000000002</v>
      </c>
      <c r="I238" s="11">
        <f t="shared" si="62"/>
        <v>36.144</v>
      </c>
      <c r="J238" s="11">
        <f t="shared" si="63"/>
        <v>108.43199999999999</v>
      </c>
      <c r="K238" s="11">
        <f>2*230</f>
        <v>460</v>
      </c>
      <c r="L238" s="8"/>
      <c r="M238" s="8"/>
      <c r="N238" s="8"/>
      <c r="O238" s="16">
        <f t="shared" si="53"/>
        <v>138.05</v>
      </c>
      <c r="P238" s="24">
        <f t="shared" si="64"/>
        <v>2543.8020000000006</v>
      </c>
      <c r="Q238" s="24">
        <f t="shared" si="68"/>
        <v>789.6460000000002</v>
      </c>
      <c r="R238" s="26">
        <f t="shared" si="54"/>
        <v>1852.3800000000003</v>
      </c>
      <c r="S238" s="11"/>
      <c r="T238" s="11"/>
      <c r="U238" s="11"/>
      <c r="V238" s="11"/>
      <c r="W238" s="11"/>
      <c r="X238" s="11"/>
      <c r="Y238" s="24">
        <f t="shared" si="65"/>
        <v>0</v>
      </c>
      <c r="Z238" s="24">
        <f t="shared" si="55"/>
        <v>777.0960000000001</v>
      </c>
      <c r="AA238" s="24"/>
      <c r="AB238" s="24">
        <f t="shared" si="67"/>
        <v>295.17600000000004</v>
      </c>
      <c r="AC238" s="26">
        <f t="shared" si="56"/>
        <v>142.96</v>
      </c>
      <c r="AD238" s="8"/>
      <c r="AE238" s="8"/>
      <c r="AF238" s="26"/>
      <c r="AG238" s="24">
        <f t="shared" si="57"/>
        <v>710.832</v>
      </c>
      <c r="AH238" s="24"/>
      <c r="AI238" s="24">
        <f t="shared" si="66"/>
        <v>7111.892000000003</v>
      </c>
    </row>
    <row r="239" spans="1:35" ht="15.75">
      <c r="A239" s="3" t="s">
        <v>140</v>
      </c>
      <c r="B239" s="4" t="s">
        <v>1</v>
      </c>
      <c r="C239" s="3" t="s">
        <v>2</v>
      </c>
      <c r="D239" s="18">
        <v>3472.4</v>
      </c>
      <c r="E239" s="11">
        <f t="shared" si="58"/>
        <v>15000.768</v>
      </c>
      <c r="F239" s="11">
        <f t="shared" si="59"/>
        <v>49585.872</v>
      </c>
      <c r="G239" s="11">
        <f t="shared" si="60"/>
        <v>49169.183999999994</v>
      </c>
      <c r="H239" s="11">
        <f t="shared" si="61"/>
        <v>10833.888</v>
      </c>
      <c r="I239" s="11">
        <f t="shared" si="62"/>
        <v>2500.1279999999997</v>
      </c>
      <c r="J239" s="11">
        <f t="shared" si="63"/>
        <v>7500.384</v>
      </c>
      <c r="K239" s="11">
        <f>76*2*6</f>
        <v>912</v>
      </c>
      <c r="L239" s="8">
        <f>144.73*88</f>
        <v>12736.24</v>
      </c>
      <c r="M239" s="8"/>
      <c r="N239" s="8"/>
      <c r="O239" s="16">
        <f t="shared" si="53"/>
        <v>9549.1</v>
      </c>
      <c r="P239" s="24">
        <f t="shared" si="64"/>
        <v>157787.56399999998</v>
      </c>
      <c r="Q239" s="24">
        <f t="shared" si="68"/>
        <v>54620.852000000006</v>
      </c>
      <c r="R239" s="26">
        <f t="shared" si="54"/>
        <v>128131.56000000001</v>
      </c>
      <c r="S239" s="11"/>
      <c r="T239" s="11"/>
      <c r="U239" s="11"/>
      <c r="V239" s="11"/>
      <c r="W239" s="11"/>
      <c r="X239" s="11">
        <v>69000</v>
      </c>
      <c r="Y239" s="24">
        <f t="shared" si="65"/>
        <v>69000</v>
      </c>
      <c r="Z239" s="24">
        <f t="shared" si="55"/>
        <v>53752.75200000001</v>
      </c>
      <c r="AA239" s="24"/>
      <c r="AB239" s="24">
        <f t="shared" si="67"/>
        <v>20417.712</v>
      </c>
      <c r="AC239" s="26">
        <f t="shared" si="56"/>
        <v>9725.12</v>
      </c>
      <c r="AD239" s="8"/>
      <c r="AE239" s="8"/>
      <c r="AF239" s="26"/>
      <c r="AG239" s="24">
        <f t="shared" si="57"/>
        <v>49169.183999999994</v>
      </c>
      <c r="AH239" s="24"/>
      <c r="AI239" s="24">
        <f t="shared" si="66"/>
        <v>542604.744</v>
      </c>
    </row>
    <row r="240" spans="1:35" ht="15.75">
      <c r="A240" s="3" t="s">
        <v>140</v>
      </c>
      <c r="B240" s="4" t="s">
        <v>68</v>
      </c>
      <c r="C240" s="3" t="s">
        <v>2</v>
      </c>
      <c r="D240" s="18">
        <v>2693.4</v>
      </c>
      <c r="E240" s="11">
        <f t="shared" si="58"/>
        <v>11635.488000000001</v>
      </c>
      <c r="F240" s="11">
        <f t="shared" si="59"/>
        <v>38461.752</v>
      </c>
      <c r="G240" s="11">
        <f t="shared" si="60"/>
        <v>38138.544</v>
      </c>
      <c r="H240" s="11">
        <f t="shared" si="61"/>
        <v>8403.408</v>
      </c>
      <c r="I240" s="11">
        <f t="shared" si="62"/>
        <v>1939.248</v>
      </c>
      <c r="J240" s="11">
        <f t="shared" si="63"/>
        <v>5817.744000000001</v>
      </c>
      <c r="K240" s="11">
        <f>60*8+60*6*2</f>
        <v>1200</v>
      </c>
      <c r="L240" s="8">
        <f>144.73*3</f>
        <v>434.18999999999994</v>
      </c>
      <c r="M240" s="8"/>
      <c r="N240" s="8"/>
      <c r="O240" s="16">
        <f t="shared" si="53"/>
        <v>7406.85</v>
      </c>
      <c r="P240" s="24">
        <f t="shared" si="64"/>
        <v>113437.22400000003</v>
      </c>
      <c r="Q240" s="24">
        <f t="shared" si="68"/>
        <v>42367.182</v>
      </c>
      <c r="R240" s="26">
        <f t="shared" si="54"/>
        <v>99386.46000000002</v>
      </c>
      <c r="S240" s="11"/>
      <c r="T240" s="11"/>
      <c r="U240" s="11"/>
      <c r="V240" s="11"/>
      <c r="W240" s="11"/>
      <c r="X240" s="11"/>
      <c r="Y240" s="24">
        <f t="shared" si="65"/>
        <v>0</v>
      </c>
      <c r="Z240" s="24">
        <f t="shared" si="55"/>
        <v>41693.832</v>
      </c>
      <c r="AA240" s="24"/>
      <c r="AB240" s="24">
        <f t="shared" si="67"/>
        <v>15837.192000000001</v>
      </c>
      <c r="AC240" s="26">
        <f t="shared" si="56"/>
        <v>7543.92</v>
      </c>
      <c r="AD240" s="8"/>
      <c r="AE240" s="8"/>
      <c r="AF240" s="26"/>
      <c r="AG240" s="24">
        <f t="shared" si="57"/>
        <v>38138.544</v>
      </c>
      <c r="AH240" s="24"/>
      <c r="AI240" s="24">
        <f t="shared" si="66"/>
        <v>358404.354</v>
      </c>
    </row>
    <row r="241" spans="1:35" ht="15.75">
      <c r="A241" s="3" t="s">
        <v>140</v>
      </c>
      <c r="B241" s="4" t="s">
        <v>69</v>
      </c>
      <c r="C241" s="3" t="s">
        <v>2</v>
      </c>
      <c r="D241" s="18">
        <v>1342.5</v>
      </c>
      <c r="E241" s="11">
        <f t="shared" si="58"/>
        <v>5799.599999999999</v>
      </c>
      <c r="F241" s="11">
        <f t="shared" si="59"/>
        <v>19170.899999999998</v>
      </c>
      <c r="G241" s="11">
        <f t="shared" si="60"/>
        <v>19009.8</v>
      </c>
      <c r="H241" s="11">
        <f t="shared" si="61"/>
        <v>4188.6</v>
      </c>
      <c r="I241" s="11">
        <f t="shared" si="62"/>
        <v>966.5999999999999</v>
      </c>
      <c r="J241" s="11">
        <f t="shared" si="63"/>
        <v>2899.7999999999997</v>
      </c>
      <c r="K241" s="11">
        <f>25*6*2</f>
        <v>300</v>
      </c>
      <c r="L241" s="8">
        <f>144.73*31</f>
        <v>4486.63</v>
      </c>
      <c r="M241" s="8"/>
      <c r="N241" s="8"/>
      <c r="O241" s="16">
        <f t="shared" si="53"/>
        <v>3691.8750000000005</v>
      </c>
      <c r="P241" s="24">
        <f t="shared" si="64"/>
        <v>60513.80499999999</v>
      </c>
      <c r="Q241" s="24">
        <f t="shared" si="68"/>
        <v>21117.525</v>
      </c>
      <c r="R241" s="26">
        <f t="shared" si="54"/>
        <v>49538.25</v>
      </c>
      <c r="S241" s="11"/>
      <c r="T241" s="11"/>
      <c r="U241" s="11"/>
      <c r="V241" s="11"/>
      <c r="W241" s="11"/>
      <c r="X241" s="11"/>
      <c r="Y241" s="24">
        <f t="shared" si="65"/>
        <v>0</v>
      </c>
      <c r="Z241" s="24">
        <f t="shared" si="55"/>
        <v>20781.9</v>
      </c>
      <c r="AA241" s="24"/>
      <c r="AB241" s="24">
        <f t="shared" si="67"/>
        <v>7893.9</v>
      </c>
      <c r="AC241" s="26">
        <f t="shared" si="56"/>
        <v>3761.4</v>
      </c>
      <c r="AD241" s="8"/>
      <c r="AE241" s="8"/>
      <c r="AF241" s="26"/>
      <c r="AG241" s="24">
        <f t="shared" si="57"/>
        <v>19009.8</v>
      </c>
      <c r="AH241" s="24"/>
      <c r="AI241" s="24">
        <f t="shared" si="66"/>
        <v>182616.57999999996</v>
      </c>
    </row>
    <row r="242" spans="1:35" ht="15.75">
      <c r="A242" s="3" t="s">
        <v>140</v>
      </c>
      <c r="B242" s="4" t="s">
        <v>32</v>
      </c>
      <c r="C242" s="3" t="s">
        <v>2</v>
      </c>
      <c r="D242" s="18">
        <v>740.6</v>
      </c>
      <c r="E242" s="11">
        <f t="shared" si="58"/>
        <v>3199.392</v>
      </c>
      <c r="F242" s="11">
        <f t="shared" si="59"/>
        <v>10575.768</v>
      </c>
      <c r="G242" s="11">
        <f t="shared" si="60"/>
        <v>10486.896</v>
      </c>
      <c r="H242" s="11">
        <f t="shared" si="61"/>
        <v>2310.672</v>
      </c>
      <c r="I242" s="11">
        <f t="shared" si="62"/>
        <v>533.232</v>
      </c>
      <c r="J242" s="11">
        <f t="shared" si="63"/>
        <v>1599.696</v>
      </c>
      <c r="K242" s="11">
        <f>10*4*8+10*6*2</f>
        <v>440</v>
      </c>
      <c r="L242" s="8"/>
      <c r="M242" s="8"/>
      <c r="N242" s="8"/>
      <c r="O242" s="16">
        <f t="shared" si="53"/>
        <v>2036.65</v>
      </c>
      <c r="P242" s="24">
        <f t="shared" si="64"/>
        <v>31182.306</v>
      </c>
      <c r="Q242" s="24"/>
      <c r="R242" s="26">
        <f t="shared" si="54"/>
        <v>27328.140000000003</v>
      </c>
      <c r="S242" s="11"/>
      <c r="T242" s="11"/>
      <c r="U242" s="11"/>
      <c r="V242" s="11"/>
      <c r="W242" s="11"/>
      <c r="X242" s="11"/>
      <c r="Y242" s="24">
        <f t="shared" si="65"/>
        <v>0</v>
      </c>
      <c r="Z242" s="24">
        <f t="shared" si="55"/>
        <v>11464.488000000001</v>
      </c>
      <c r="AA242" s="24"/>
      <c r="AB242" s="24">
        <f t="shared" si="67"/>
        <v>4354.728</v>
      </c>
      <c r="AC242" s="26">
        <f t="shared" si="56"/>
        <v>2076.0800000000004</v>
      </c>
      <c r="AD242" s="8"/>
      <c r="AE242" s="8"/>
      <c r="AF242" s="26"/>
      <c r="AG242" s="24">
        <f t="shared" si="57"/>
        <v>10486.896</v>
      </c>
      <c r="AH242" s="24"/>
      <c r="AI242" s="24">
        <f t="shared" si="66"/>
        <v>86892.638</v>
      </c>
    </row>
    <row r="243" spans="1:35" ht="15.75">
      <c r="A243" s="3" t="s">
        <v>140</v>
      </c>
      <c r="B243" s="4" t="s">
        <v>35</v>
      </c>
      <c r="C243" s="3" t="s">
        <v>65</v>
      </c>
      <c r="D243" s="18">
        <v>4718.1</v>
      </c>
      <c r="E243" s="11">
        <f t="shared" si="58"/>
        <v>20382.192000000003</v>
      </c>
      <c r="F243" s="11">
        <f t="shared" si="59"/>
        <v>67374.468</v>
      </c>
      <c r="G243" s="11">
        <f t="shared" si="60"/>
        <v>66808.296</v>
      </c>
      <c r="H243" s="11">
        <f t="shared" si="61"/>
        <v>14720.472000000002</v>
      </c>
      <c r="I243" s="11">
        <f t="shared" si="62"/>
        <v>3397.032</v>
      </c>
      <c r="J243" s="11">
        <f t="shared" si="63"/>
        <v>10191.096000000001</v>
      </c>
      <c r="K243" s="11">
        <f>92*8+92*6*2</f>
        <v>1840</v>
      </c>
      <c r="L243" s="8">
        <f>144.73*2</f>
        <v>289.46</v>
      </c>
      <c r="M243" s="8"/>
      <c r="N243" s="8"/>
      <c r="O243" s="16">
        <f t="shared" si="53"/>
        <v>12974.775000000001</v>
      </c>
      <c r="P243" s="24">
        <f t="shared" si="64"/>
        <v>197977.791</v>
      </c>
      <c r="Q243" s="24">
        <f aca="true" t="shared" si="69" ref="Q243:Q253">D243*1.27*5+D243*1.34*7</f>
        <v>74215.71300000002</v>
      </c>
      <c r="R243" s="26">
        <f t="shared" si="54"/>
        <v>174097.89</v>
      </c>
      <c r="S243" s="11"/>
      <c r="T243" s="11"/>
      <c r="U243" s="11"/>
      <c r="V243" s="11"/>
      <c r="W243" s="11"/>
      <c r="X243" s="11"/>
      <c r="Y243" s="24">
        <f t="shared" si="65"/>
        <v>0</v>
      </c>
      <c r="Z243" s="24">
        <f t="shared" si="55"/>
        <v>73036.18800000001</v>
      </c>
      <c r="AA243" s="24"/>
      <c r="AB243" s="24">
        <f t="shared" si="67"/>
        <v>27742.428</v>
      </c>
      <c r="AC243" s="26">
        <f t="shared" si="56"/>
        <v>13213.080000000002</v>
      </c>
      <c r="AD243" s="8"/>
      <c r="AE243" s="8"/>
      <c r="AF243" s="26"/>
      <c r="AG243" s="24">
        <f t="shared" si="57"/>
        <v>66808.296</v>
      </c>
      <c r="AH243" s="24">
        <v>57500</v>
      </c>
      <c r="AI243" s="24">
        <f t="shared" si="66"/>
        <v>684591.3859999999</v>
      </c>
    </row>
    <row r="244" spans="1:35" ht="15.75">
      <c r="A244" s="3" t="s">
        <v>140</v>
      </c>
      <c r="B244" s="4" t="s">
        <v>79</v>
      </c>
      <c r="C244" s="3" t="s">
        <v>65</v>
      </c>
      <c r="D244" s="18">
        <v>3355.2</v>
      </c>
      <c r="E244" s="11">
        <f t="shared" si="58"/>
        <v>14494.463999999998</v>
      </c>
      <c r="F244" s="11">
        <f t="shared" si="59"/>
        <v>47912.255999999994</v>
      </c>
      <c r="G244" s="11">
        <f t="shared" si="60"/>
        <v>47509.632</v>
      </c>
      <c r="H244" s="11">
        <f t="shared" si="61"/>
        <v>10468.224</v>
      </c>
      <c r="I244" s="11">
        <f t="shared" si="62"/>
        <v>2415.7439999999997</v>
      </c>
      <c r="J244" s="11">
        <f t="shared" si="63"/>
        <v>7247.231999999999</v>
      </c>
      <c r="K244" s="11">
        <f>66*8+66*6*2</f>
        <v>1320</v>
      </c>
      <c r="L244" s="8">
        <f>144.73*3</f>
        <v>434.18999999999994</v>
      </c>
      <c r="M244" s="8"/>
      <c r="N244" s="8"/>
      <c r="O244" s="16">
        <f t="shared" si="53"/>
        <v>9226.800000000001</v>
      </c>
      <c r="P244" s="24">
        <f t="shared" si="64"/>
        <v>141028.542</v>
      </c>
      <c r="Q244" s="24">
        <f t="shared" si="69"/>
        <v>52777.296</v>
      </c>
      <c r="R244" s="26">
        <f t="shared" si="54"/>
        <v>123806.87999999998</v>
      </c>
      <c r="S244" s="11"/>
      <c r="T244" s="11"/>
      <c r="U244" s="11"/>
      <c r="V244" s="11"/>
      <c r="W244" s="11"/>
      <c r="X244" s="11"/>
      <c r="Y244" s="24">
        <f t="shared" si="65"/>
        <v>0</v>
      </c>
      <c r="Z244" s="24">
        <f t="shared" si="55"/>
        <v>51938.496</v>
      </c>
      <c r="AA244" s="24"/>
      <c r="AB244" s="24">
        <f t="shared" si="67"/>
        <v>19728.575999999997</v>
      </c>
      <c r="AC244" s="26">
        <f t="shared" si="56"/>
        <v>9396.96</v>
      </c>
      <c r="AD244" s="8"/>
      <c r="AE244" s="8"/>
      <c r="AF244" s="26"/>
      <c r="AG244" s="24">
        <f t="shared" si="57"/>
        <v>47509.632</v>
      </c>
      <c r="AH244" s="24">
        <v>57500</v>
      </c>
      <c r="AI244" s="24">
        <f t="shared" si="66"/>
        <v>503686.382</v>
      </c>
    </row>
    <row r="245" spans="1:35" ht="15.75">
      <c r="A245" s="3" t="s">
        <v>140</v>
      </c>
      <c r="B245" s="4" t="s">
        <v>79</v>
      </c>
      <c r="C245" s="3" t="s">
        <v>110</v>
      </c>
      <c r="D245" s="18">
        <v>4453.9</v>
      </c>
      <c r="E245" s="11">
        <f t="shared" si="58"/>
        <v>19240.847999999998</v>
      </c>
      <c r="F245" s="11">
        <f t="shared" si="59"/>
        <v>63601.691999999995</v>
      </c>
      <c r="G245" s="11">
        <f t="shared" si="60"/>
        <v>63067.22399999999</v>
      </c>
      <c r="H245" s="11">
        <f t="shared" si="61"/>
        <v>13896.167999999998</v>
      </c>
      <c r="I245" s="11">
        <f t="shared" si="62"/>
        <v>3206.808</v>
      </c>
      <c r="J245" s="11">
        <f t="shared" si="63"/>
        <v>9620.423999999999</v>
      </c>
      <c r="K245" s="11">
        <f>99*6*2</f>
        <v>1188</v>
      </c>
      <c r="L245" s="8">
        <f>144.73*3</f>
        <v>434.18999999999994</v>
      </c>
      <c r="M245" s="8"/>
      <c r="N245" s="8"/>
      <c r="O245" s="16">
        <f t="shared" si="53"/>
        <v>12248.225</v>
      </c>
      <c r="P245" s="24">
        <f t="shared" si="64"/>
        <v>186503.57899999997</v>
      </c>
      <c r="Q245" s="24">
        <f t="shared" si="69"/>
        <v>70059.847</v>
      </c>
      <c r="R245" s="26">
        <f t="shared" si="54"/>
        <v>164348.90999999997</v>
      </c>
      <c r="S245" s="11"/>
      <c r="T245" s="11"/>
      <c r="U245" s="11"/>
      <c r="V245" s="11"/>
      <c r="W245" s="11"/>
      <c r="X245" s="11">
        <v>4000</v>
      </c>
      <c r="Y245" s="24">
        <f t="shared" si="65"/>
        <v>4000</v>
      </c>
      <c r="Z245" s="24">
        <f t="shared" si="55"/>
        <v>68946.372</v>
      </c>
      <c r="AA245" s="24"/>
      <c r="AB245" s="24">
        <f t="shared" si="67"/>
        <v>26188.931999999993</v>
      </c>
      <c r="AC245" s="26">
        <f t="shared" si="56"/>
        <v>12473.32</v>
      </c>
      <c r="AD245" s="8"/>
      <c r="AE245" s="8"/>
      <c r="AF245" s="26"/>
      <c r="AG245" s="24">
        <f t="shared" si="57"/>
        <v>63067.22399999999</v>
      </c>
      <c r="AH245" s="24"/>
      <c r="AI245" s="24">
        <f t="shared" si="66"/>
        <v>595588.1839999999</v>
      </c>
    </row>
    <row r="246" spans="1:35" ht="15.75">
      <c r="A246" s="3" t="s">
        <v>140</v>
      </c>
      <c r="B246" s="4" t="s">
        <v>70</v>
      </c>
      <c r="C246" s="3" t="s">
        <v>2</v>
      </c>
      <c r="D246" s="18">
        <v>4902.7</v>
      </c>
      <c r="E246" s="11">
        <f t="shared" si="58"/>
        <v>21179.664</v>
      </c>
      <c r="F246" s="11">
        <f t="shared" si="59"/>
        <v>70010.556</v>
      </c>
      <c r="G246" s="11">
        <f t="shared" si="60"/>
        <v>69422.23199999999</v>
      </c>
      <c r="H246" s="11">
        <f t="shared" si="61"/>
        <v>15296.423999999999</v>
      </c>
      <c r="I246" s="11">
        <f t="shared" si="62"/>
        <v>3529.9439999999995</v>
      </c>
      <c r="J246" s="11">
        <f t="shared" si="63"/>
        <v>10589.832</v>
      </c>
      <c r="K246" s="11">
        <f>89*6*2</f>
        <v>1068</v>
      </c>
      <c r="L246" s="8">
        <f>144.73*3</f>
        <v>434.18999999999994</v>
      </c>
      <c r="M246" s="8"/>
      <c r="N246" s="8"/>
      <c r="O246" s="16">
        <f t="shared" si="53"/>
        <v>13482.425000000001</v>
      </c>
      <c r="P246" s="24">
        <f t="shared" si="64"/>
        <v>205013.26699999996</v>
      </c>
      <c r="Q246" s="24">
        <f t="shared" si="69"/>
        <v>77119.471</v>
      </c>
      <c r="R246" s="26">
        <f t="shared" si="54"/>
        <v>180909.62999999998</v>
      </c>
      <c r="S246" s="11"/>
      <c r="T246" s="11">
        <f>100*135</f>
        <v>13500</v>
      </c>
      <c r="U246" s="11"/>
      <c r="V246" s="11"/>
      <c r="W246" s="11"/>
      <c r="X246" s="11"/>
      <c r="Y246" s="24">
        <f t="shared" si="65"/>
        <v>13500</v>
      </c>
      <c r="Z246" s="24">
        <f t="shared" si="55"/>
        <v>75893.796</v>
      </c>
      <c r="AA246" s="24"/>
      <c r="AB246" s="24">
        <f t="shared" si="67"/>
        <v>28827.875999999997</v>
      </c>
      <c r="AC246" s="26">
        <f t="shared" si="56"/>
        <v>13729.96</v>
      </c>
      <c r="AD246" s="8"/>
      <c r="AE246" s="8"/>
      <c r="AF246" s="26"/>
      <c r="AG246" s="24">
        <f t="shared" si="57"/>
        <v>69422.23199999999</v>
      </c>
      <c r="AH246" s="24"/>
      <c r="AI246" s="24">
        <f t="shared" si="66"/>
        <v>664416.2319999998</v>
      </c>
    </row>
    <row r="247" spans="1:35" ht="15.75">
      <c r="A247" s="3" t="s">
        <v>140</v>
      </c>
      <c r="B247" s="4" t="s">
        <v>11</v>
      </c>
      <c r="C247" s="3" t="s">
        <v>2</v>
      </c>
      <c r="D247" s="18">
        <v>764.4</v>
      </c>
      <c r="E247" s="11">
        <f t="shared" si="58"/>
        <v>3302.2079999999996</v>
      </c>
      <c r="F247" s="11">
        <f t="shared" si="59"/>
        <v>10915.632</v>
      </c>
      <c r="G247" s="11">
        <f t="shared" si="60"/>
        <v>10823.903999999999</v>
      </c>
      <c r="H247" s="11">
        <f t="shared" si="61"/>
        <v>2384.928</v>
      </c>
      <c r="I247" s="11">
        <f t="shared" si="62"/>
        <v>550.3679999999999</v>
      </c>
      <c r="J247" s="11">
        <f t="shared" si="63"/>
        <v>1651.1039999999998</v>
      </c>
      <c r="K247" s="11">
        <f>18*8*4+18*6*2</f>
        <v>792</v>
      </c>
      <c r="L247" s="8">
        <f>144.73*2</f>
        <v>289.46</v>
      </c>
      <c r="M247" s="8"/>
      <c r="N247" s="8">
        <f>465*20.77</f>
        <v>9658.05</v>
      </c>
      <c r="O247" s="16">
        <f t="shared" si="53"/>
        <v>2102.1</v>
      </c>
      <c r="P247" s="24">
        <f t="shared" si="64"/>
        <v>42469.75399999999</v>
      </c>
      <c r="Q247" s="24">
        <f t="shared" si="69"/>
        <v>12024.012</v>
      </c>
      <c r="R247" s="26">
        <f t="shared" si="54"/>
        <v>28206.359999999997</v>
      </c>
      <c r="S247" s="11"/>
      <c r="T247" s="11"/>
      <c r="U247" s="11"/>
      <c r="V247" s="11"/>
      <c r="W247" s="11"/>
      <c r="X247" s="11">
        <v>68000</v>
      </c>
      <c r="Y247" s="24">
        <f t="shared" si="65"/>
        <v>68000</v>
      </c>
      <c r="Z247" s="24">
        <f t="shared" si="55"/>
        <v>11832.912</v>
      </c>
      <c r="AA247" s="24"/>
      <c r="AB247" s="24">
        <f t="shared" si="67"/>
        <v>4494.672</v>
      </c>
      <c r="AC247" s="26">
        <f t="shared" si="56"/>
        <v>2142.72</v>
      </c>
      <c r="AD247" s="8"/>
      <c r="AE247" s="8"/>
      <c r="AF247" s="26"/>
      <c r="AG247" s="24">
        <f t="shared" si="57"/>
        <v>10823.903999999999</v>
      </c>
      <c r="AH247" s="24"/>
      <c r="AI247" s="24">
        <f t="shared" si="66"/>
        <v>179994.334</v>
      </c>
    </row>
    <row r="248" spans="1:35" ht="15.75">
      <c r="A248" s="3" t="s">
        <v>140</v>
      </c>
      <c r="B248" s="4" t="s">
        <v>64</v>
      </c>
      <c r="C248" s="3" t="s">
        <v>2</v>
      </c>
      <c r="D248" s="18">
        <v>4891.4</v>
      </c>
      <c r="E248" s="11">
        <f t="shared" si="58"/>
        <v>21130.847999999998</v>
      </c>
      <c r="F248" s="11">
        <f t="shared" si="59"/>
        <v>69849.192</v>
      </c>
      <c r="G248" s="11">
        <f t="shared" si="60"/>
        <v>69262.22399999999</v>
      </c>
      <c r="H248" s="11">
        <f t="shared" si="61"/>
        <v>15261.167999999998</v>
      </c>
      <c r="I248" s="11">
        <f t="shared" si="62"/>
        <v>3521.808</v>
      </c>
      <c r="J248" s="11">
        <f t="shared" si="63"/>
        <v>10565.423999999999</v>
      </c>
      <c r="K248" s="11">
        <f>90*8+90*6*2</f>
        <v>1800</v>
      </c>
      <c r="L248" s="8">
        <f>144.73*2</f>
        <v>289.46</v>
      </c>
      <c r="M248" s="8"/>
      <c r="N248" s="8"/>
      <c r="O248" s="16">
        <f t="shared" si="53"/>
        <v>13451.35</v>
      </c>
      <c r="P248" s="24">
        <f t="shared" si="64"/>
        <v>205131.47399999996</v>
      </c>
      <c r="Q248" s="24">
        <f t="shared" si="69"/>
        <v>76941.722</v>
      </c>
      <c r="R248" s="26">
        <f t="shared" si="54"/>
        <v>180492.65999999997</v>
      </c>
      <c r="S248" s="11"/>
      <c r="T248" s="11"/>
      <c r="U248" s="11"/>
      <c r="V248" s="11"/>
      <c r="W248" s="11"/>
      <c r="X248" s="11"/>
      <c r="Y248" s="24">
        <f t="shared" si="65"/>
        <v>0</v>
      </c>
      <c r="Z248" s="24">
        <f t="shared" si="55"/>
        <v>75718.872</v>
      </c>
      <c r="AA248" s="24"/>
      <c r="AB248" s="24">
        <f t="shared" si="67"/>
        <v>28761.431999999993</v>
      </c>
      <c r="AC248" s="26">
        <f t="shared" si="56"/>
        <v>13698.32</v>
      </c>
      <c r="AD248" s="8"/>
      <c r="AE248" s="8"/>
      <c r="AF248" s="26"/>
      <c r="AG248" s="24">
        <f t="shared" si="57"/>
        <v>69262.22399999999</v>
      </c>
      <c r="AH248" s="24">
        <v>57500</v>
      </c>
      <c r="AI248" s="24">
        <f t="shared" si="66"/>
        <v>707506.7039999999</v>
      </c>
    </row>
    <row r="249" spans="1:35" ht="15.75">
      <c r="A249" s="3" t="s">
        <v>140</v>
      </c>
      <c r="B249" s="4" t="s">
        <v>72</v>
      </c>
      <c r="C249" s="3" t="s">
        <v>2</v>
      </c>
      <c r="D249" s="18">
        <v>3564.9</v>
      </c>
      <c r="E249" s="11">
        <f t="shared" si="58"/>
        <v>15400.368</v>
      </c>
      <c r="F249" s="11">
        <f t="shared" si="59"/>
        <v>50906.772</v>
      </c>
      <c r="G249" s="11">
        <f t="shared" si="60"/>
        <v>50478.984000000004</v>
      </c>
      <c r="H249" s="11">
        <f t="shared" si="61"/>
        <v>11122.488000000001</v>
      </c>
      <c r="I249" s="11">
        <f t="shared" si="62"/>
        <v>2566.728</v>
      </c>
      <c r="J249" s="11">
        <f t="shared" si="63"/>
        <v>7700.184</v>
      </c>
      <c r="K249" s="11">
        <f>80*6*2</f>
        <v>960</v>
      </c>
      <c r="L249" s="8">
        <f>144.73*3</f>
        <v>434.18999999999994</v>
      </c>
      <c r="M249" s="8"/>
      <c r="N249" s="8"/>
      <c r="O249" s="16">
        <f t="shared" si="53"/>
        <v>9803.475</v>
      </c>
      <c r="P249" s="24">
        <f t="shared" si="64"/>
        <v>149373.189</v>
      </c>
      <c r="Q249" s="24">
        <f t="shared" si="69"/>
        <v>56075.877</v>
      </c>
      <c r="R249" s="26">
        <f t="shared" si="54"/>
        <v>131544.81</v>
      </c>
      <c r="S249" s="11">
        <f>350*120</f>
        <v>42000</v>
      </c>
      <c r="T249" s="11"/>
      <c r="U249" s="11"/>
      <c r="V249" s="11"/>
      <c r="W249" s="11"/>
      <c r="X249" s="11"/>
      <c r="Y249" s="24">
        <f t="shared" si="65"/>
        <v>42000</v>
      </c>
      <c r="Z249" s="24">
        <f t="shared" si="55"/>
        <v>55184.652</v>
      </c>
      <c r="AA249" s="24"/>
      <c r="AB249" s="24">
        <f t="shared" si="67"/>
        <v>20961.612</v>
      </c>
      <c r="AC249" s="26">
        <f t="shared" si="56"/>
        <v>9984.12</v>
      </c>
      <c r="AD249" s="8"/>
      <c r="AE249" s="8"/>
      <c r="AF249" s="26"/>
      <c r="AG249" s="24">
        <f t="shared" si="57"/>
        <v>50478.984000000004</v>
      </c>
      <c r="AH249" s="24"/>
      <c r="AI249" s="24">
        <f t="shared" si="66"/>
        <v>515603.24400000006</v>
      </c>
    </row>
    <row r="250" spans="1:35" ht="15.75">
      <c r="A250" s="3" t="s">
        <v>140</v>
      </c>
      <c r="B250" s="4" t="s">
        <v>66</v>
      </c>
      <c r="C250" s="3" t="s">
        <v>65</v>
      </c>
      <c r="D250" s="18">
        <v>5789.6</v>
      </c>
      <c r="E250" s="11">
        <f t="shared" si="58"/>
        <v>25011.072</v>
      </c>
      <c r="F250" s="11">
        <f t="shared" si="59"/>
        <v>82675.488</v>
      </c>
      <c r="G250" s="11">
        <f t="shared" si="60"/>
        <v>81980.736</v>
      </c>
      <c r="H250" s="11">
        <f t="shared" si="61"/>
        <v>18063.552</v>
      </c>
      <c r="I250" s="11">
        <f t="shared" si="62"/>
        <v>4168.512000000001</v>
      </c>
      <c r="J250" s="11">
        <f t="shared" si="63"/>
        <v>12505.536</v>
      </c>
      <c r="K250" s="11">
        <f>119*8+119*6*2</f>
        <v>2380</v>
      </c>
      <c r="L250" s="8">
        <f>144.73*3</f>
        <v>434.18999999999994</v>
      </c>
      <c r="M250" s="8"/>
      <c r="N250" s="8"/>
      <c r="O250" s="16">
        <f t="shared" si="53"/>
        <v>15921.400000000003</v>
      </c>
      <c r="P250" s="24">
        <f t="shared" si="64"/>
        <v>243140.48599999998</v>
      </c>
      <c r="Q250" s="24">
        <f t="shared" si="69"/>
        <v>91070.40800000001</v>
      </c>
      <c r="R250" s="26">
        <f t="shared" si="54"/>
        <v>213636.24000000005</v>
      </c>
      <c r="S250" s="11"/>
      <c r="T250" s="11">
        <f>90*135</f>
        <v>12150</v>
      </c>
      <c r="U250" s="11"/>
      <c r="V250" s="11"/>
      <c r="W250" s="11"/>
      <c r="X250" s="11"/>
      <c r="Y250" s="24">
        <f t="shared" si="65"/>
        <v>12150</v>
      </c>
      <c r="Z250" s="24">
        <f t="shared" si="55"/>
        <v>89623.008</v>
      </c>
      <c r="AA250" s="24"/>
      <c r="AB250" s="24">
        <f t="shared" si="67"/>
        <v>34042.848</v>
      </c>
      <c r="AC250" s="26">
        <f t="shared" si="56"/>
        <v>16213.28</v>
      </c>
      <c r="AD250" s="8"/>
      <c r="AE250" s="8"/>
      <c r="AF250" s="26"/>
      <c r="AG250" s="24">
        <f t="shared" si="57"/>
        <v>81980.736</v>
      </c>
      <c r="AH250" s="24"/>
      <c r="AI250" s="24">
        <f t="shared" si="66"/>
        <v>781857.0060000002</v>
      </c>
    </row>
    <row r="251" spans="1:35" ht="15.75">
      <c r="A251" s="3" t="s">
        <v>140</v>
      </c>
      <c r="B251" s="4" t="s">
        <v>66</v>
      </c>
      <c r="C251" s="3" t="s">
        <v>110</v>
      </c>
      <c r="D251" s="18">
        <v>4430.2</v>
      </c>
      <c r="E251" s="11">
        <f t="shared" si="58"/>
        <v>19138.464</v>
      </c>
      <c r="F251" s="11">
        <f t="shared" si="59"/>
        <v>63263.255999999994</v>
      </c>
      <c r="G251" s="11">
        <f t="shared" si="60"/>
        <v>62731.632</v>
      </c>
      <c r="H251" s="11">
        <f t="shared" si="61"/>
        <v>13822.224000000002</v>
      </c>
      <c r="I251" s="11">
        <f t="shared" si="62"/>
        <v>3189.7439999999997</v>
      </c>
      <c r="J251" s="11">
        <f t="shared" si="63"/>
        <v>9569.232</v>
      </c>
      <c r="K251" s="11">
        <f>90*8+90*6*2</f>
        <v>1800</v>
      </c>
      <c r="L251" s="8">
        <f>144.73*2</f>
        <v>289.46</v>
      </c>
      <c r="M251" s="8"/>
      <c r="N251" s="8"/>
      <c r="O251" s="16">
        <f t="shared" si="53"/>
        <v>12183.050000000001</v>
      </c>
      <c r="P251" s="24">
        <f t="shared" si="64"/>
        <v>185987.06199999998</v>
      </c>
      <c r="Q251" s="24">
        <f t="shared" si="69"/>
        <v>69687.046</v>
      </c>
      <c r="R251" s="26">
        <f t="shared" si="54"/>
        <v>163474.37999999998</v>
      </c>
      <c r="S251" s="11"/>
      <c r="T251" s="11"/>
      <c r="U251" s="11"/>
      <c r="V251" s="11"/>
      <c r="W251" s="11"/>
      <c r="X251" s="11"/>
      <c r="Y251" s="24">
        <f t="shared" si="65"/>
        <v>0</v>
      </c>
      <c r="Z251" s="24">
        <f t="shared" si="55"/>
        <v>68579.496</v>
      </c>
      <c r="AA251" s="24"/>
      <c r="AB251" s="24">
        <f t="shared" si="67"/>
        <v>26049.575999999997</v>
      </c>
      <c r="AC251" s="26">
        <f t="shared" si="56"/>
        <v>12406.96</v>
      </c>
      <c r="AD251" s="8"/>
      <c r="AE251" s="8"/>
      <c r="AF251" s="26"/>
      <c r="AG251" s="24">
        <f t="shared" si="57"/>
        <v>62731.632</v>
      </c>
      <c r="AH251" s="24">
        <v>57500</v>
      </c>
      <c r="AI251" s="24">
        <f t="shared" si="66"/>
        <v>646416.1519999999</v>
      </c>
    </row>
    <row r="252" spans="1:35" ht="15.75">
      <c r="A252" s="3" t="s">
        <v>140</v>
      </c>
      <c r="B252" s="4" t="s">
        <v>128</v>
      </c>
      <c r="C252" s="3" t="s">
        <v>2</v>
      </c>
      <c r="D252" s="18">
        <v>3540.2</v>
      </c>
      <c r="E252" s="11">
        <f t="shared" si="58"/>
        <v>15293.664</v>
      </c>
      <c r="F252" s="11">
        <f t="shared" si="59"/>
        <v>50554.056</v>
      </c>
      <c r="G252" s="11">
        <f t="shared" si="60"/>
        <v>50129.231999999996</v>
      </c>
      <c r="H252" s="11">
        <f t="shared" si="61"/>
        <v>11045.423999999999</v>
      </c>
      <c r="I252" s="11">
        <f t="shared" si="62"/>
        <v>2548.9439999999995</v>
      </c>
      <c r="J252" s="11">
        <f t="shared" si="63"/>
        <v>7646.832</v>
      </c>
      <c r="K252" s="11">
        <f>80*6*2</f>
        <v>960</v>
      </c>
      <c r="L252" s="8">
        <f>144.73*3</f>
        <v>434.18999999999994</v>
      </c>
      <c r="M252" s="8"/>
      <c r="N252" s="8"/>
      <c r="O252" s="16">
        <f t="shared" si="53"/>
        <v>9735.550000000001</v>
      </c>
      <c r="P252" s="24">
        <f t="shared" si="64"/>
        <v>148347.892</v>
      </c>
      <c r="Q252" s="24">
        <f t="shared" si="69"/>
        <v>55687.346000000005</v>
      </c>
      <c r="R252" s="26">
        <f t="shared" si="54"/>
        <v>130633.37999999998</v>
      </c>
      <c r="S252" s="11">
        <f>192*120</f>
        <v>23040</v>
      </c>
      <c r="T252" s="11"/>
      <c r="U252" s="11"/>
      <c r="V252" s="11"/>
      <c r="W252" s="11"/>
      <c r="X252" s="11"/>
      <c r="Y252" s="24">
        <f t="shared" si="65"/>
        <v>23040</v>
      </c>
      <c r="Z252" s="24">
        <f t="shared" si="55"/>
        <v>54802.296</v>
      </c>
      <c r="AA252" s="24"/>
      <c r="AB252" s="24">
        <f t="shared" si="67"/>
        <v>20816.375999999997</v>
      </c>
      <c r="AC252" s="26">
        <f t="shared" si="56"/>
        <v>9914.96</v>
      </c>
      <c r="AD252" s="8"/>
      <c r="AE252" s="8"/>
      <c r="AF252" s="26"/>
      <c r="AG252" s="24">
        <f t="shared" si="57"/>
        <v>50129.231999999996</v>
      </c>
      <c r="AH252" s="24">
        <v>57500</v>
      </c>
      <c r="AI252" s="24">
        <f t="shared" si="66"/>
        <v>550871.4820000001</v>
      </c>
    </row>
    <row r="253" spans="1:35" ht="15.75">
      <c r="A253" s="45" t="s">
        <v>45</v>
      </c>
      <c r="B253" s="10" t="s">
        <v>90</v>
      </c>
      <c r="D253" s="46">
        <v>501.6</v>
      </c>
      <c r="E253" s="11">
        <f t="shared" si="58"/>
        <v>2166.912</v>
      </c>
      <c r="F253" s="11">
        <f t="shared" si="59"/>
        <v>7162.848</v>
      </c>
      <c r="G253" s="11">
        <f t="shared" si="60"/>
        <v>7102.656000000001</v>
      </c>
      <c r="H253" s="11">
        <f t="shared" si="61"/>
        <v>1564.992</v>
      </c>
      <c r="I253" s="11">
        <f t="shared" si="62"/>
        <v>361.152</v>
      </c>
      <c r="J253" s="11">
        <f t="shared" si="63"/>
        <v>1083.456</v>
      </c>
      <c r="K253" s="11">
        <f>10*8*4+10*6*2</f>
        <v>440</v>
      </c>
      <c r="L253" s="8">
        <f>144.73*3</f>
        <v>434.18999999999994</v>
      </c>
      <c r="M253" s="8"/>
      <c r="N253" s="8">
        <f>166*20.77</f>
        <v>3447.8199999999997</v>
      </c>
      <c r="O253" s="16">
        <f t="shared" si="53"/>
        <v>1379.4000000000003</v>
      </c>
      <c r="P253" s="24">
        <f t="shared" si="64"/>
        <v>25143.425999999996</v>
      </c>
      <c r="Q253" s="24">
        <f t="shared" si="69"/>
        <v>7890.1680000000015</v>
      </c>
      <c r="R253" s="26">
        <f t="shared" si="54"/>
        <v>18509.04</v>
      </c>
      <c r="S253" s="11"/>
      <c r="T253" s="11"/>
      <c r="U253" s="11">
        <v>115000</v>
      </c>
      <c r="V253" s="11">
        <f>91*150</f>
        <v>13650</v>
      </c>
      <c r="W253" s="11"/>
      <c r="X253" s="11"/>
      <c r="Y253" s="24">
        <f t="shared" si="65"/>
        <v>128650</v>
      </c>
      <c r="Z253" s="24">
        <f t="shared" si="55"/>
        <v>7764.768000000001</v>
      </c>
      <c r="AA253" s="24"/>
      <c r="AB253" s="24">
        <f t="shared" si="67"/>
        <v>2949.4080000000004</v>
      </c>
      <c r="AC253" s="26">
        <f t="shared" si="56"/>
        <v>1406.88</v>
      </c>
      <c r="AD253" s="8"/>
      <c r="AE253" s="8"/>
      <c r="AF253" s="26"/>
      <c r="AG253" s="24">
        <f t="shared" si="57"/>
        <v>7102.656000000001</v>
      </c>
      <c r="AH253" s="24">
        <v>57500</v>
      </c>
      <c r="AI253" s="24">
        <f t="shared" si="66"/>
        <v>256916.346</v>
      </c>
    </row>
    <row r="254" spans="1:35" ht="15.75">
      <c r="A254" s="3" t="s">
        <v>45</v>
      </c>
      <c r="B254" s="4" t="s">
        <v>147</v>
      </c>
      <c r="C254" s="8"/>
      <c r="D254" s="9">
        <v>142.2</v>
      </c>
      <c r="E254" s="11">
        <f t="shared" si="58"/>
        <v>614.3039999999999</v>
      </c>
      <c r="F254" s="11">
        <f t="shared" si="59"/>
        <v>2030.616</v>
      </c>
      <c r="G254" s="11">
        <f t="shared" si="60"/>
        <v>2013.5519999999997</v>
      </c>
      <c r="H254" s="11">
        <f t="shared" si="61"/>
        <v>443.664</v>
      </c>
      <c r="I254" s="11">
        <f t="shared" si="62"/>
        <v>102.38399999999999</v>
      </c>
      <c r="J254" s="11">
        <f t="shared" si="63"/>
        <v>307.15199999999993</v>
      </c>
      <c r="K254" s="11">
        <f>2*8*4+2*6*2</f>
        <v>88</v>
      </c>
      <c r="L254" s="8">
        <f>144.73*6</f>
        <v>868.3799999999999</v>
      </c>
      <c r="M254" s="8"/>
      <c r="N254" s="8">
        <f>819*20.77</f>
        <v>17010.63</v>
      </c>
      <c r="O254" s="16">
        <f t="shared" si="53"/>
        <v>391.04999999999995</v>
      </c>
      <c r="P254" s="24">
        <f t="shared" si="64"/>
        <v>23869.732</v>
      </c>
      <c r="Q254" s="24"/>
      <c r="R254" s="26">
        <f t="shared" si="54"/>
        <v>5247.18</v>
      </c>
      <c r="S254" s="11">
        <f>30*700</f>
        <v>21000</v>
      </c>
      <c r="T254" s="11"/>
      <c r="U254" s="11"/>
      <c r="V254" s="11">
        <f>68*150</f>
        <v>10200</v>
      </c>
      <c r="W254" s="11">
        <f>4*220</f>
        <v>880</v>
      </c>
      <c r="X254" s="11"/>
      <c r="Y254" s="24">
        <f t="shared" si="65"/>
        <v>32080</v>
      </c>
      <c r="Z254" s="24">
        <f t="shared" si="55"/>
        <v>2201.256</v>
      </c>
      <c r="AA254" s="24"/>
      <c r="AB254" s="24">
        <f t="shared" si="67"/>
        <v>836.136</v>
      </c>
      <c r="AC254" s="26">
        <f t="shared" si="56"/>
        <v>400.55999999999995</v>
      </c>
      <c r="AD254" s="8"/>
      <c r="AE254" s="8"/>
      <c r="AF254" s="26"/>
      <c r="AG254" s="24">
        <f t="shared" si="57"/>
        <v>2013.5519999999997</v>
      </c>
      <c r="AH254" s="24">
        <v>57500</v>
      </c>
      <c r="AI254" s="24">
        <f t="shared" si="66"/>
        <v>124148.416</v>
      </c>
    </row>
    <row r="255" spans="1:35" ht="15.75">
      <c r="A255" s="3" t="s">
        <v>81</v>
      </c>
      <c r="B255" s="4" t="s">
        <v>148</v>
      </c>
      <c r="C255" s="8"/>
      <c r="D255" s="9">
        <v>370.8</v>
      </c>
      <c r="E255" s="11">
        <f t="shared" si="58"/>
        <v>1601.856</v>
      </c>
      <c r="F255" s="11">
        <f t="shared" si="59"/>
        <v>5295.024</v>
      </c>
      <c r="G255" s="11">
        <f t="shared" si="60"/>
        <v>5250.528</v>
      </c>
      <c r="H255" s="11">
        <f t="shared" si="61"/>
        <v>1156.896</v>
      </c>
      <c r="I255" s="11">
        <f t="shared" si="62"/>
        <v>266.976</v>
      </c>
      <c r="J255" s="11">
        <f t="shared" si="63"/>
        <v>800.928</v>
      </c>
      <c r="K255" s="11">
        <f>8*8*4+8*6*2</f>
        <v>352</v>
      </c>
      <c r="L255" s="8">
        <f>144.73*12</f>
        <v>1736.7599999999998</v>
      </c>
      <c r="M255" s="8"/>
      <c r="N255" s="8"/>
      <c r="O255" s="16">
        <f t="shared" si="53"/>
        <v>1019.7000000000002</v>
      </c>
      <c r="P255" s="24">
        <f t="shared" si="64"/>
        <v>17480.668</v>
      </c>
      <c r="Q255" s="24"/>
      <c r="R255" s="26">
        <f t="shared" si="54"/>
        <v>13682.52</v>
      </c>
      <c r="S255" s="11"/>
      <c r="T255" s="11"/>
      <c r="U255" s="11"/>
      <c r="V255" s="11"/>
      <c r="W255" s="11"/>
      <c r="X255" s="11"/>
      <c r="Y255" s="24">
        <f t="shared" si="65"/>
        <v>0</v>
      </c>
      <c r="Z255" s="24">
        <f t="shared" si="55"/>
        <v>5739.984</v>
      </c>
      <c r="AA255" s="24"/>
      <c r="AB255" s="24">
        <f t="shared" si="67"/>
        <v>2180.304</v>
      </c>
      <c r="AC255" s="26">
        <f t="shared" si="56"/>
        <v>1040.6400000000003</v>
      </c>
      <c r="AD255" s="8"/>
      <c r="AE255" s="8"/>
      <c r="AF255" s="26"/>
      <c r="AG255" s="24">
        <f t="shared" si="57"/>
        <v>5250.528</v>
      </c>
      <c r="AH255" s="24">
        <v>57500</v>
      </c>
      <c r="AI255" s="24">
        <f t="shared" si="66"/>
        <v>102874.644</v>
      </c>
    </row>
    <row r="256" spans="31:33" ht="15">
      <c r="AE256" s="12"/>
      <c r="AF256" s="29"/>
      <c r="AG256" s="29"/>
    </row>
    <row r="257" spans="31:33" ht="15">
      <c r="AE257" s="12"/>
      <c r="AF257" s="29"/>
      <c r="AG257" s="29"/>
    </row>
  </sheetData>
  <sheetProtection/>
  <mergeCells count="12">
    <mergeCell ref="E1:P1"/>
    <mergeCell ref="Q1:Q2"/>
    <mergeCell ref="R1:R2"/>
    <mergeCell ref="S1:Y1"/>
    <mergeCell ref="Z1:Z2"/>
    <mergeCell ref="AA1:AA2"/>
    <mergeCell ref="AB1:AB2"/>
    <mergeCell ref="AC1:AC2"/>
    <mergeCell ref="AD1:AF1"/>
    <mergeCell ref="AG1:AG2"/>
    <mergeCell ref="AH1:AH2"/>
    <mergeCell ref="AI1:A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</dc:creator>
  <cp:keywords/>
  <dc:description/>
  <cp:lastModifiedBy>Таня</cp:lastModifiedBy>
  <cp:lastPrinted>2012-04-16T08:11:09Z</cp:lastPrinted>
  <dcterms:created xsi:type="dcterms:W3CDTF">2012-04-10T11:13:28Z</dcterms:created>
  <dcterms:modified xsi:type="dcterms:W3CDTF">2013-01-05T16:41:14Z</dcterms:modified>
  <cp:category/>
  <cp:version/>
  <cp:contentType/>
  <cp:contentStatus/>
</cp:coreProperties>
</file>