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траты Текущий ремонт" sheetId="1" r:id="rId1"/>
  </sheets>
  <calcPr calcId="152511"/>
</workbook>
</file>

<file path=xl/calcChain.xml><?xml version="1.0" encoding="utf-8"?>
<calcChain xmlns="http://schemas.openxmlformats.org/spreadsheetml/2006/main">
  <c r="CA213" i="1" l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B213" i="1"/>
  <c r="AZ213" i="1"/>
  <c r="AX213" i="1"/>
  <c r="AW213" i="1"/>
  <c r="AV213" i="1"/>
  <c r="AT213" i="1"/>
  <c r="AS213" i="1"/>
  <c r="AP213" i="1"/>
  <c r="AO213" i="1"/>
  <c r="AM213" i="1"/>
  <c r="AL213" i="1"/>
  <c r="AK213" i="1"/>
  <c r="AJ213" i="1"/>
  <c r="AI213" i="1"/>
  <c r="AH213" i="1"/>
  <c r="AG213" i="1"/>
  <c r="AF213" i="1"/>
  <c r="AE213" i="1"/>
  <c r="S213" i="1"/>
  <c r="R213" i="1"/>
  <c r="M213" i="1"/>
  <c r="K213" i="1"/>
  <c r="J213" i="1"/>
  <c r="I213" i="1"/>
  <c r="H213" i="1"/>
  <c r="G213" i="1"/>
  <c r="F213" i="1"/>
  <c r="E213" i="1"/>
  <c r="BG212" i="1"/>
  <c r="BF212" i="1"/>
  <c r="BE212" i="1"/>
  <c r="BD212" i="1" s="1"/>
  <c r="BG211" i="1"/>
  <c r="BF211" i="1"/>
  <c r="BE211" i="1"/>
  <c r="BD211" i="1" s="1"/>
  <c r="BG210" i="1"/>
  <c r="BF210" i="1"/>
  <c r="BE210" i="1"/>
  <c r="AN210" i="1"/>
  <c r="BD210" i="1" s="1"/>
  <c r="AA210" i="1"/>
  <c r="BG209" i="1"/>
  <c r="BF209" i="1"/>
  <c r="BE209" i="1"/>
  <c r="AA209" i="1"/>
  <c r="Q209" i="1"/>
  <c r="BD209" i="1" s="1"/>
  <c r="P209" i="1"/>
  <c r="BG208" i="1"/>
  <c r="BF208" i="1"/>
  <c r="BE208" i="1"/>
  <c r="BD208" i="1" s="1"/>
  <c r="AA208" i="1"/>
  <c r="BG207" i="1"/>
  <c r="BF207" i="1"/>
  <c r="BE207" i="1"/>
  <c r="BD207" i="1" s="1"/>
  <c r="AA207" i="1"/>
  <c r="BG206" i="1"/>
  <c r="BF206" i="1"/>
  <c r="BE206" i="1"/>
  <c r="BD206" i="1" s="1"/>
  <c r="AA206" i="1"/>
  <c r="BG205" i="1"/>
  <c r="BF205" i="1"/>
  <c r="BE205" i="1"/>
  <c r="AD205" i="1"/>
  <c r="BD205" i="1" s="1"/>
  <c r="AC205" i="1"/>
  <c r="AA205" i="1"/>
  <c r="BG204" i="1"/>
  <c r="BF204" i="1"/>
  <c r="BE204" i="1"/>
  <c r="BC204" i="1"/>
  <c r="BD204" i="1" s="1"/>
  <c r="AA204" i="1"/>
  <c r="BG203" i="1"/>
  <c r="BF203" i="1"/>
  <c r="BE203" i="1"/>
  <c r="BD203" i="1" s="1"/>
  <c r="AA203" i="1"/>
  <c r="BG202" i="1"/>
  <c r="BF202" i="1"/>
  <c r="BE202" i="1"/>
  <c r="BD202" i="1" s="1"/>
  <c r="AA202" i="1"/>
  <c r="BG201" i="1"/>
  <c r="BF201" i="1"/>
  <c r="BE201" i="1"/>
  <c r="BD201" i="1" s="1"/>
  <c r="AA201" i="1"/>
  <c r="BG200" i="1"/>
  <c r="BF200" i="1"/>
  <c r="BE200" i="1"/>
  <c r="BD200" i="1" s="1"/>
  <c r="AA200" i="1"/>
  <c r="BG199" i="1"/>
  <c r="BF199" i="1"/>
  <c r="BE199" i="1"/>
  <c r="BD199" i="1" s="1"/>
  <c r="BG198" i="1"/>
  <c r="BF198" i="1"/>
  <c r="BE198" i="1"/>
  <c r="BD198" i="1" s="1"/>
  <c r="AA198" i="1"/>
  <c r="BG197" i="1"/>
  <c r="BF197" i="1"/>
  <c r="BE197" i="1"/>
  <c r="BD197" i="1" s="1"/>
  <c r="AA197" i="1"/>
  <c r="BG196" i="1"/>
  <c r="BF196" i="1"/>
  <c r="BE196" i="1"/>
  <c r="AU196" i="1"/>
  <c r="BD196" i="1" s="1"/>
  <c r="AA196" i="1"/>
  <c r="BG195" i="1"/>
  <c r="BF195" i="1"/>
  <c r="BE195" i="1"/>
  <c r="AD195" i="1"/>
  <c r="BD195" i="1" s="1"/>
  <c r="AC195" i="1"/>
  <c r="AA195" i="1"/>
  <c r="BG194" i="1"/>
  <c r="BF194" i="1"/>
  <c r="BE194" i="1"/>
  <c r="AD194" i="1"/>
  <c r="BD194" i="1" s="1"/>
  <c r="AC194" i="1"/>
  <c r="AA194" i="1"/>
  <c r="BG193" i="1"/>
  <c r="BF193" i="1"/>
  <c r="BE193" i="1"/>
  <c r="BD193" i="1" s="1"/>
  <c r="AA193" i="1"/>
  <c r="BG192" i="1"/>
  <c r="BF192" i="1"/>
  <c r="BE192" i="1"/>
  <c r="AB192" i="1"/>
  <c r="BD192" i="1" s="1"/>
  <c r="Z192" i="1"/>
  <c r="BG191" i="1"/>
  <c r="BF191" i="1"/>
  <c r="BE191" i="1"/>
  <c r="BD191" i="1" s="1"/>
  <c r="AA191" i="1"/>
  <c r="BG190" i="1"/>
  <c r="BF190" i="1"/>
  <c r="BE190" i="1"/>
  <c r="BD190" i="1" s="1"/>
  <c r="AA190" i="1"/>
  <c r="BG189" i="1"/>
  <c r="BF189" i="1"/>
  <c r="BE189" i="1"/>
  <c r="BD189" i="1" s="1"/>
  <c r="BG188" i="1"/>
  <c r="BF188" i="1"/>
  <c r="BE188" i="1"/>
  <c r="BD188" i="1" s="1"/>
  <c r="BG187" i="1"/>
  <c r="BF187" i="1"/>
  <c r="BE187" i="1"/>
  <c r="BD187" i="1" s="1"/>
  <c r="AA187" i="1"/>
  <c r="BG186" i="1"/>
  <c r="BF186" i="1"/>
  <c r="BE186" i="1"/>
  <c r="BD186" i="1" s="1"/>
  <c r="AA186" i="1"/>
  <c r="BG185" i="1"/>
  <c r="BF185" i="1"/>
  <c r="BE185" i="1"/>
  <c r="AD185" i="1"/>
  <c r="BD185" i="1" s="1"/>
  <c r="AC185" i="1"/>
  <c r="AA185" i="1"/>
  <c r="BG184" i="1"/>
  <c r="BF184" i="1"/>
  <c r="BE184" i="1"/>
  <c r="BD184" i="1" s="1"/>
  <c r="AA184" i="1"/>
  <c r="Z184" i="1"/>
  <c r="BG183" i="1"/>
  <c r="BF183" i="1"/>
  <c r="BE183" i="1"/>
  <c r="AA183" i="1"/>
  <c r="Y183" i="1"/>
  <c r="BD183" i="1" s="1"/>
  <c r="X183" i="1"/>
  <c r="BG182" i="1"/>
  <c r="BF182" i="1"/>
  <c r="BE182" i="1"/>
  <c r="BD182" i="1" s="1"/>
  <c r="BG181" i="1"/>
  <c r="BF181" i="1"/>
  <c r="BE181" i="1"/>
  <c r="BD181" i="1" s="1"/>
  <c r="BG180" i="1"/>
  <c r="BF180" i="1"/>
  <c r="BE180" i="1"/>
  <c r="BD180" i="1" s="1"/>
  <c r="AA180" i="1"/>
  <c r="BG179" i="1"/>
  <c r="BF179" i="1"/>
  <c r="BE179" i="1"/>
  <c r="AA179" i="1"/>
  <c r="O179" i="1"/>
  <c r="BD179" i="1" s="1"/>
  <c r="N179" i="1"/>
  <c r="BG178" i="1"/>
  <c r="BF178" i="1"/>
  <c r="BE178" i="1"/>
  <c r="BD178" i="1" s="1"/>
  <c r="AA178" i="1"/>
  <c r="BG177" i="1"/>
  <c r="BF177" i="1"/>
  <c r="BE177" i="1"/>
  <c r="BD177" i="1" s="1"/>
  <c r="BG176" i="1"/>
  <c r="BF176" i="1"/>
  <c r="BE176" i="1"/>
  <c r="BG175" i="1"/>
  <c r="BF175" i="1"/>
  <c r="BE175" i="1"/>
  <c r="BD175" i="1" s="1"/>
  <c r="BG174" i="1"/>
  <c r="BF174" i="1"/>
  <c r="BE174" i="1"/>
  <c r="BG173" i="1"/>
  <c r="BF173" i="1"/>
  <c r="BE173" i="1"/>
  <c r="AD173" i="1"/>
  <c r="BD173" i="1" s="1"/>
  <c r="AC173" i="1"/>
  <c r="BG172" i="1"/>
  <c r="BF172" i="1"/>
  <c r="BE172" i="1"/>
  <c r="BD172" i="1" s="1"/>
  <c r="BG171" i="1"/>
  <c r="BF171" i="1"/>
  <c r="BE171" i="1"/>
  <c r="BG170" i="1"/>
  <c r="BF170" i="1"/>
  <c r="BE170" i="1"/>
  <c r="BD170" i="1" s="1"/>
  <c r="AA170" i="1"/>
  <c r="BG169" i="1"/>
  <c r="BF169" i="1"/>
  <c r="BE169" i="1"/>
  <c r="BD169" i="1" s="1"/>
  <c r="AA169" i="1"/>
  <c r="BG168" i="1"/>
  <c r="BF168" i="1"/>
  <c r="BE168" i="1"/>
  <c r="BD168" i="1" s="1"/>
  <c r="AA168" i="1"/>
  <c r="BG167" i="1"/>
  <c r="BF167" i="1"/>
  <c r="BE167" i="1"/>
  <c r="BD167" i="1" s="1"/>
  <c r="AA167" i="1"/>
  <c r="BG166" i="1"/>
  <c r="BF166" i="1"/>
  <c r="BE166" i="1"/>
  <c r="AU166" i="1"/>
  <c r="AD166" i="1"/>
  <c r="BD166" i="1" s="1"/>
  <c r="AC166" i="1"/>
  <c r="AA166" i="1"/>
  <c r="BG165" i="1"/>
  <c r="BF165" i="1"/>
  <c r="BE165" i="1"/>
  <c r="AA165" i="1"/>
  <c r="Y165" i="1"/>
  <c r="X165" i="1"/>
  <c r="BG164" i="1"/>
  <c r="BF164" i="1"/>
  <c r="BE164" i="1"/>
  <c r="BC164" i="1"/>
  <c r="BD164" i="1" s="1"/>
  <c r="AA164" i="1"/>
  <c r="BG163" i="1"/>
  <c r="BF163" i="1"/>
  <c r="BE163" i="1"/>
  <c r="BD163" i="1" s="1"/>
  <c r="AA163" i="1"/>
  <c r="BG162" i="1"/>
  <c r="BF162" i="1"/>
  <c r="BE162" i="1"/>
  <c r="BD162" i="1" s="1"/>
  <c r="AA162" i="1"/>
  <c r="BG161" i="1"/>
  <c r="BF161" i="1"/>
  <c r="BE161" i="1"/>
  <c r="BD161" i="1" s="1"/>
  <c r="AA161" i="1"/>
  <c r="BG160" i="1"/>
  <c r="BF160" i="1"/>
  <c r="BE160" i="1"/>
  <c r="BC160" i="1"/>
  <c r="AA160" i="1"/>
  <c r="BG159" i="1"/>
  <c r="BF159" i="1"/>
  <c r="BE159" i="1"/>
  <c r="BG158" i="1"/>
  <c r="BF158" i="1"/>
  <c r="BE158" i="1"/>
  <c r="AD158" i="1"/>
  <c r="AC158" i="1"/>
  <c r="AA158" i="1"/>
  <c r="BG157" i="1"/>
  <c r="BF157" i="1"/>
  <c r="BE157" i="1"/>
  <c r="BD157" i="1" s="1"/>
  <c r="AA157" i="1"/>
  <c r="BG156" i="1"/>
  <c r="BF156" i="1"/>
  <c r="BE156" i="1"/>
  <c r="BD156" i="1" s="1"/>
  <c r="AA156" i="1"/>
  <c r="BG155" i="1"/>
  <c r="BF155" i="1"/>
  <c r="BE155" i="1"/>
  <c r="BD155" i="1" s="1"/>
  <c r="BG154" i="1"/>
  <c r="BF154" i="1"/>
  <c r="BE154" i="1"/>
  <c r="AA154" i="1"/>
  <c r="BG153" i="1"/>
  <c r="BF153" i="1"/>
  <c r="BE153" i="1"/>
  <c r="AA153" i="1"/>
  <c r="BG152" i="1"/>
  <c r="BF152" i="1"/>
  <c r="BE152" i="1"/>
  <c r="BG151" i="1"/>
  <c r="BF151" i="1"/>
  <c r="BE151" i="1"/>
  <c r="BD151" i="1" s="1"/>
  <c r="AA151" i="1"/>
  <c r="BG150" i="1"/>
  <c r="BF150" i="1"/>
  <c r="BE150" i="1"/>
  <c r="BD150" i="1" s="1"/>
  <c r="AA150" i="1"/>
  <c r="BG149" i="1"/>
  <c r="BF149" i="1"/>
  <c r="BE149" i="1"/>
  <c r="BD149" i="1" s="1"/>
  <c r="AA149" i="1"/>
  <c r="BG148" i="1"/>
  <c r="BF148" i="1"/>
  <c r="BE148" i="1"/>
  <c r="BD148" i="1" s="1"/>
  <c r="AA148" i="1"/>
  <c r="BG147" i="1"/>
  <c r="BF147" i="1"/>
  <c r="BE147" i="1"/>
  <c r="BD147" i="1" s="1"/>
  <c r="BG146" i="1"/>
  <c r="BF146" i="1"/>
  <c r="BE146" i="1"/>
  <c r="AA146" i="1"/>
  <c r="BG145" i="1"/>
  <c r="BF145" i="1"/>
  <c r="BE145" i="1"/>
  <c r="BG144" i="1"/>
  <c r="BF144" i="1"/>
  <c r="BE144" i="1"/>
  <c r="BC144" i="1"/>
  <c r="BG143" i="1"/>
  <c r="BF143" i="1"/>
  <c r="BE143" i="1"/>
  <c r="BD143" i="1" s="1"/>
  <c r="BG142" i="1"/>
  <c r="BF142" i="1"/>
  <c r="BE142" i="1"/>
  <c r="AA142" i="1"/>
  <c r="W142" i="1"/>
  <c r="V142" i="1"/>
  <c r="V213" i="1" s="1"/>
  <c r="BG141" i="1"/>
  <c r="BF141" i="1"/>
  <c r="BE141" i="1"/>
  <c r="BG140" i="1"/>
  <c r="BF140" i="1"/>
  <c r="BE140" i="1"/>
  <c r="BD140" i="1" s="1"/>
  <c r="AA140" i="1"/>
  <c r="BG139" i="1"/>
  <c r="BF139" i="1"/>
  <c r="BE139" i="1"/>
  <c r="BD139" i="1" s="1"/>
  <c r="BG138" i="1"/>
  <c r="BF138" i="1"/>
  <c r="BE138" i="1"/>
  <c r="BG137" i="1"/>
  <c r="BF137" i="1"/>
  <c r="BE137" i="1"/>
  <c r="BD137" i="1" s="1"/>
  <c r="BG136" i="1"/>
  <c r="BF136" i="1"/>
  <c r="BE136" i="1"/>
  <c r="AA136" i="1"/>
  <c r="BG135" i="1"/>
  <c r="BF135" i="1"/>
  <c r="BE135" i="1"/>
  <c r="AA135" i="1"/>
  <c r="BG134" i="1"/>
  <c r="BF134" i="1"/>
  <c r="BE134" i="1"/>
  <c r="BG133" i="1"/>
  <c r="BF133" i="1"/>
  <c r="BE133" i="1"/>
  <c r="AU133" i="1"/>
  <c r="AA133" i="1"/>
  <c r="BG132" i="1"/>
  <c r="BF132" i="1"/>
  <c r="BE132" i="1"/>
  <c r="AA132" i="1"/>
  <c r="BG131" i="1"/>
  <c r="BF131" i="1"/>
  <c r="BE131" i="1"/>
  <c r="BG130" i="1"/>
  <c r="BF130" i="1"/>
  <c r="BE130" i="1"/>
  <c r="BD130" i="1" s="1"/>
  <c r="BG129" i="1"/>
  <c r="BF129" i="1"/>
  <c r="BE129" i="1"/>
  <c r="AD129" i="1"/>
  <c r="BD129" i="1" s="1"/>
  <c r="AC129" i="1"/>
  <c r="AA129" i="1"/>
  <c r="BG128" i="1"/>
  <c r="BF128" i="1"/>
  <c r="BE128" i="1"/>
  <c r="AA128" i="1"/>
  <c r="BG127" i="1"/>
  <c r="BF127" i="1"/>
  <c r="BE127" i="1"/>
  <c r="BD127" i="1" s="1"/>
  <c r="AA127" i="1"/>
  <c r="BG126" i="1"/>
  <c r="BF126" i="1"/>
  <c r="BE126" i="1"/>
  <c r="BD126" i="1" s="1"/>
  <c r="AA126" i="1"/>
  <c r="BG125" i="1"/>
  <c r="BF125" i="1"/>
  <c r="BE125" i="1"/>
  <c r="BD125" i="1" s="1"/>
  <c r="AA125" i="1"/>
  <c r="BG124" i="1"/>
  <c r="BF124" i="1"/>
  <c r="BE124" i="1"/>
  <c r="BD124" i="1" s="1"/>
  <c r="AA124" i="1"/>
  <c r="BG123" i="1"/>
  <c r="BF123" i="1"/>
  <c r="BE123" i="1"/>
  <c r="AD123" i="1"/>
  <c r="AC123" i="1"/>
  <c r="AA123" i="1"/>
  <c r="Y123" i="1"/>
  <c r="BD123" i="1" s="1"/>
  <c r="X123" i="1"/>
  <c r="BG122" i="1"/>
  <c r="BF122" i="1"/>
  <c r="BE122" i="1"/>
  <c r="BD122" i="1" s="1"/>
  <c r="AA122" i="1"/>
  <c r="BG121" i="1"/>
  <c r="BF121" i="1"/>
  <c r="BE121" i="1"/>
  <c r="BD121" i="1" s="1"/>
  <c r="BG120" i="1"/>
  <c r="BF120" i="1"/>
  <c r="BE120" i="1"/>
  <c r="O120" i="1"/>
  <c r="BD120" i="1" s="1"/>
  <c r="N120" i="1"/>
  <c r="BG119" i="1"/>
  <c r="BF119" i="1"/>
  <c r="BE119" i="1"/>
  <c r="U119" i="1"/>
  <c r="T119" i="1"/>
  <c r="BG118" i="1"/>
  <c r="BF118" i="1"/>
  <c r="BE118" i="1"/>
  <c r="BG117" i="1"/>
  <c r="BF117" i="1"/>
  <c r="BE117" i="1"/>
  <c r="BD117" i="1" s="1"/>
  <c r="BG116" i="1"/>
  <c r="BF116" i="1"/>
  <c r="BE116" i="1"/>
  <c r="BG115" i="1"/>
  <c r="BF115" i="1"/>
  <c r="BE115" i="1"/>
  <c r="BD115" i="1" s="1"/>
  <c r="BG114" i="1"/>
  <c r="BF114" i="1"/>
  <c r="BE114" i="1"/>
  <c r="BG113" i="1"/>
  <c r="BF113" i="1"/>
  <c r="BE113" i="1"/>
  <c r="BA113" i="1"/>
  <c r="AA113" i="1"/>
  <c r="BG112" i="1"/>
  <c r="BF112" i="1"/>
  <c r="BE112" i="1"/>
  <c r="BG111" i="1"/>
  <c r="BF111" i="1"/>
  <c r="BE111" i="1"/>
  <c r="BD111" i="1" s="1"/>
  <c r="BG110" i="1"/>
  <c r="BF110" i="1"/>
  <c r="BE110" i="1"/>
  <c r="AD110" i="1"/>
  <c r="BD110" i="1" s="1"/>
  <c r="AC110" i="1"/>
  <c r="AA110" i="1"/>
  <c r="BG109" i="1"/>
  <c r="BF109" i="1"/>
  <c r="BE109" i="1"/>
  <c r="AA109" i="1"/>
  <c r="BG108" i="1"/>
  <c r="BF108" i="1"/>
  <c r="BE108" i="1"/>
  <c r="BA108" i="1"/>
  <c r="AA108" i="1"/>
  <c r="Y108" i="1"/>
  <c r="BD108" i="1" s="1"/>
  <c r="X108" i="1"/>
  <c r="BG107" i="1"/>
  <c r="BF107" i="1"/>
  <c r="BE107" i="1"/>
  <c r="BD107" i="1" s="1"/>
  <c r="BG106" i="1"/>
  <c r="BF106" i="1"/>
  <c r="BE106" i="1"/>
  <c r="BG105" i="1"/>
  <c r="BF105" i="1"/>
  <c r="BE105" i="1"/>
  <c r="BD105" i="1" s="1"/>
  <c r="AA105" i="1"/>
  <c r="BG104" i="1"/>
  <c r="BF104" i="1"/>
  <c r="BE104" i="1"/>
  <c r="BD104" i="1" s="1"/>
  <c r="AA104" i="1"/>
  <c r="BG103" i="1"/>
  <c r="BF103" i="1"/>
  <c r="BE103" i="1"/>
  <c r="BD103" i="1" s="1"/>
  <c r="BG102" i="1"/>
  <c r="BF102" i="1"/>
  <c r="BE102" i="1"/>
  <c r="O102" i="1"/>
  <c r="BD102" i="1" s="1"/>
  <c r="N102" i="1"/>
  <c r="BG101" i="1"/>
  <c r="BF101" i="1"/>
  <c r="BE101" i="1"/>
  <c r="BD101" i="1" s="1"/>
  <c r="AA101" i="1"/>
  <c r="BG100" i="1"/>
  <c r="BF100" i="1"/>
  <c r="BE100" i="1"/>
  <c r="AA100" i="1"/>
  <c r="Z100" i="1"/>
  <c r="O100" i="1"/>
  <c r="N100" i="1"/>
  <c r="BG99" i="1"/>
  <c r="BF99" i="1"/>
  <c r="BE99" i="1"/>
  <c r="AA99" i="1"/>
  <c r="BG98" i="1"/>
  <c r="BF98" i="1"/>
  <c r="BE98" i="1"/>
  <c r="BA98" i="1"/>
  <c r="AA98" i="1"/>
  <c r="O98" i="1"/>
  <c r="BD98" i="1" s="1"/>
  <c r="N98" i="1"/>
  <c r="BG97" i="1"/>
  <c r="BF97" i="1"/>
  <c r="BE97" i="1"/>
  <c r="AD97" i="1"/>
  <c r="AC97" i="1"/>
  <c r="AA97" i="1"/>
  <c r="O97" i="1"/>
  <c r="BD97" i="1" s="1"/>
  <c r="N97" i="1"/>
  <c r="BG96" i="1"/>
  <c r="BF96" i="1"/>
  <c r="BE96" i="1"/>
  <c r="BD96" i="1" s="1"/>
  <c r="AA96" i="1"/>
  <c r="BG95" i="1"/>
  <c r="BF95" i="1"/>
  <c r="BE95" i="1"/>
  <c r="BD95" i="1" s="1"/>
  <c r="BG94" i="1"/>
  <c r="BF94" i="1"/>
  <c r="BE94" i="1"/>
  <c r="BG93" i="1"/>
  <c r="BF93" i="1"/>
  <c r="BE93" i="1"/>
  <c r="BD93" i="1" s="1"/>
  <c r="AA93" i="1"/>
  <c r="BG92" i="1"/>
  <c r="BF92" i="1"/>
  <c r="BE92" i="1"/>
  <c r="BD92" i="1" s="1"/>
  <c r="BG91" i="1"/>
  <c r="BF91" i="1"/>
  <c r="BE91" i="1"/>
  <c r="AB91" i="1"/>
  <c r="BG90" i="1"/>
  <c r="BF90" i="1"/>
  <c r="BE90" i="1"/>
  <c r="AA90" i="1"/>
  <c r="BG89" i="1"/>
  <c r="BF89" i="1"/>
  <c r="BE89" i="1"/>
  <c r="AA89" i="1"/>
  <c r="BG88" i="1"/>
  <c r="BF88" i="1"/>
  <c r="BE88" i="1"/>
  <c r="AA88" i="1"/>
  <c r="BG87" i="1"/>
  <c r="BF87" i="1"/>
  <c r="BE87" i="1"/>
  <c r="BG86" i="1"/>
  <c r="BF86" i="1"/>
  <c r="BE86" i="1"/>
  <c r="BD86" i="1" s="1"/>
  <c r="BG85" i="1"/>
  <c r="BF85" i="1"/>
  <c r="BE85" i="1"/>
  <c r="BG84" i="1"/>
  <c r="BF84" i="1"/>
  <c r="BE84" i="1"/>
  <c r="BD84" i="1" s="1"/>
  <c r="BG83" i="1"/>
  <c r="BF83" i="1"/>
  <c r="BE83" i="1"/>
  <c r="AA83" i="1"/>
  <c r="BG82" i="1"/>
  <c r="BF82" i="1"/>
  <c r="BE82" i="1"/>
  <c r="BG81" i="1"/>
  <c r="BF81" i="1"/>
  <c r="BE81" i="1"/>
  <c r="BD81" i="1" s="1"/>
  <c r="BG80" i="1"/>
  <c r="BF80" i="1"/>
  <c r="BE80" i="1"/>
  <c r="BG79" i="1"/>
  <c r="BF79" i="1"/>
  <c r="BE79" i="1"/>
  <c r="BD79" i="1" s="1"/>
  <c r="BG78" i="1"/>
  <c r="BF78" i="1"/>
  <c r="BE78" i="1"/>
  <c r="BG77" i="1"/>
  <c r="BF77" i="1"/>
  <c r="BE77" i="1"/>
  <c r="BD77" i="1" s="1"/>
  <c r="AA77" i="1"/>
  <c r="BG76" i="1"/>
  <c r="BF76" i="1"/>
  <c r="BE76" i="1"/>
  <c r="BD76" i="1" s="1"/>
  <c r="BG75" i="1"/>
  <c r="BF75" i="1"/>
  <c r="BE75" i="1"/>
  <c r="BG74" i="1"/>
  <c r="BF74" i="1"/>
  <c r="BE74" i="1"/>
  <c r="BD74" i="1" s="1"/>
  <c r="AA74" i="1"/>
  <c r="BG73" i="1"/>
  <c r="BF73" i="1"/>
  <c r="BE73" i="1"/>
  <c r="BD73" i="1" s="1"/>
  <c r="BG72" i="1"/>
  <c r="BF72" i="1"/>
  <c r="BE72" i="1"/>
  <c r="BG71" i="1"/>
  <c r="BF71" i="1"/>
  <c r="BE71" i="1"/>
  <c r="BD71" i="1" s="1"/>
  <c r="AA71" i="1"/>
  <c r="BG70" i="1"/>
  <c r="BF70" i="1"/>
  <c r="BE70" i="1"/>
  <c r="BD70" i="1" s="1"/>
  <c r="AA70" i="1"/>
  <c r="BG69" i="1"/>
  <c r="BF69" i="1"/>
  <c r="BE69" i="1"/>
  <c r="BD69" i="1" s="1"/>
  <c r="BG68" i="1"/>
  <c r="BF68" i="1"/>
  <c r="BE68" i="1"/>
  <c r="BG67" i="1"/>
  <c r="BF67" i="1"/>
  <c r="BE67" i="1"/>
  <c r="AA67" i="1"/>
  <c r="U67" i="1"/>
  <c r="BD67" i="1" s="1"/>
  <c r="T67" i="1"/>
  <c r="BG66" i="1"/>
  <c r="BF66" i="1"/>
  <c r="BE66" i="1"/>
  <c r="AA66" i="1"/>
  <c r="O66" i="1"/>
  <c r="BD66" i="1" s="1"/>
  <c r="N66" i="1"/>
  <c r="BG65" i="1"/>
  <c r="BF65" i="1"/>
  <c r="BE65" i="1"/>
  <c r="AR65" i="1"/>
  <c r="BG64" i="1"/>
  <c r="BF64" i="1"/>
  <c r="BE64" i="1"/>
  <c r="BD64" i="1" s="1"/>
  <c r="BG63" i="1"/>
  <c r="BF63" i="1"/>
  <c r="BE63" i="1"/>
  <c r="BG62" i="1"/>
  <c r="BF62" i="1"/>
  <c r="BE62" i="1"/>
  <c r="BD62" i="1" s="1"/>
  <c r="AA62" i="1"/>
  <c r="BG61" i="1"/>
  <c r="BF61" i="1"/>
  <c r="BE61" i="1"/>
  <c r="BD61" i="1" s="1"/>
  <c r="BG60" i="1"/>
  <c r="BF60" i="1"/>
  <c r="BE60" i="1"/>
  <c r="AA60" i="1"/>
  <c r="BG59" i="1"/>
  <c r="BF59" i="1"/>
  <c r="BE59" i="1"/>
  <c r="AA59" i="1"/>
  <c r="U59" i="1"/>
  <c r="T59" i="1"/>
  <c r="BG58" i="1"/>
  <c r="BF58" i="1"/>
  <c r="BE58" i="1"/>
  <c r="AA58" i="1"/>
  <c r="BG57" i="1"/>
  <c r="BF57" i="1"/>
  <c r="BE57" i="1"/>
  <c r="BG56" i="1"/>
  <c r="BF56" i="1"/>
  <c r="BE56" i="1"/>
  <c r="BD56" i="1" s="1"/>
  <c r="BG55" i="1"/>
  <c r="BF55" i="1"/>
  <c r="BE55" i="1"/>
  <c r="BG54" i="1"/>
  <c r="BF54" i="1"/>
  <c r="BE54" i="1"/>
  <c r="O54" i="1"/>
  <c r="N54" i="1"/>
  <c r="BG53" i="1"/>
  <c r="BF53" i="1"/>
  <c r="BE53" i="1"/>
  <c r="AA53" i="1"/>
  <c r="BG52" i="1"/>
  <c r="BF52" i="1"/>
  <c r="BE52" i="1"/>
  <c r="AA52" i="1"/>
  <c r="BG51" i="1"/>
  <c r="BF51" i="1"/>
  <c r="BE51" i="1"/>
  <c r="BG50" i="1"/>
  <c r="BF50" i="1"/>
  <c r="BE50" i="1"/>
  <c r="BD50" i="1" s="1"/>
  <c r="AA50" i="1"/>
  <c r="BG49" i="1"/>
  <c r="BF49" i="1"/>
  <c r="BE49" i="1"/>
  <c r="AA49" i="1"/>
  <c r="Y49" i="1"/>
  <c r="BD49" i="1" s="1"/>
  <c r="X49" i="1"/>
  <c r="BG48" i="1"/>
  <c r="BF48" i="1"/>
  <c r="BE48" i="1"/>
  <c r="BD48" i="1" s="1"/>
  <c r="AA48" i="1"/>
  <c r="BG47" i="1"/>
  <c r="BF47" i="1"/>
  <c r="BE47" i="1"/>
  <c r="BD47" i="1" s="1"/>
  <c r="BG46" i="1"/>
  <c r="BF46" i="1"/>
  <c r="BE46" i="1"/>
  <c r="AR46" i="1"/>
  <c r="BD46" i="1" s="1"/>
  <c r="BG45" i="1"/>
  <c r="BF45" i="1"/>
  <c r="BE45" i="1"/>
  <c r="AA45" i="1"/>
  <c r="BG44" i="1"/>
  <c r="BF44" i="1"/>
  <c r="BE44" i="1"/>
  <c r="AY44" i="1"/>
  <c r="AA44" i="1"/>
  <c r="BG43" i="1"/>
  <c r="BF43" i="1"/>
  <c r="BE43" i="1"/>
  <c r="BD43" i="1" s="1"/>
  <c r="BG42" i="1"/>
  <c r="BF42" i="1"/>
  <c r="BE42" i="1"/>
  <c r="O42" i="1"/>
  <c r="BD42" i="1" s="1"/>
  <c r="N42" i="1"/>
  <c r="BG41" i="1"/>
  <c r="BF41" i="1"/>
  <c r="BE41" i="1"/>
  <c r="BD41" i="1" s="1"/>
  <c r="BG40" i="1"/>
  <c r="BF40" i="1"/>
  <c r="BE40" i="1"/>
  <c r="BG39" i="1"/>
  <c r="BF39" i="1"/>
  <c r="BE39" i="1"/>
  <c r="BD39" i="1" s="1"/>
  <c r="BG38" i="1"/>
  <c r="BF38" i="1"/>
  <c r="BE38" i="1"/>
  <c r="AA38" i="1"/>
  <c r="BG37" i="1"/>
  <c r="BF37" i="1"/>
  <c r="BE37" i="1"/>
  <c r="AA37" i="1"/>
  <c r="BG36" i="1"/>
  <c r="BF36" i="1"/>
  <c r="BE36" i="1"/>
  <c r="AA36" i="1"/>
  <c r="BG35" i="1"/>
  <c r="BF35" i="1"/>
  <c r="BE35" i="1"/>
  <c r="AA35" i="1"/>
  <c r="BG34" i="1"/>
  <c r="BF34" i="1"/>
  <c r="BE34" i="1"/>
  <c r="BD34" i="1" s="1"/>
  <c r="AA34" i="1"/>
  <c r="BG33" i="1"/>
  <c r="BF33" i="1"/>
  <c r="BE33" i="1"/>
  <c r="BC33" i="1"/>
  <c r="Y33" i="1"/>
  <c r="BD33" i="1" s="1"/>
  <c r="X33" i="1"/>
  <c r="BG32" i="1"/>
  <c r="BF32" i="1"/>
  <c r="BE32" i="1"/>
  <c r="BD32" i="1" s="1"/>
  <c r="AA32" i="1"/>
  <c r="BG31" i="1"/>
  <c r="BF31" i="1"/>
  <c r="BE31" i="1"/>
  <c r="BD31" i="1" s="1"/>
  <c r="AA31" i="1"/>
  <c r="BG30" i="1"/>
  <c r="BF30" i="1"/>
  <c r="BE30" i="1"/>
  <c r="BD30" i="1" s="1"/>
  <c r="AA30" i="1"/>
  <c r="BG29" i="1"/>
  <c r="BF29" i="1"/>
  <c r="BE29" i="1"/>
  <c r="BD29" i="1" s="1"/>
  <c r="AA29" i="1"/>
  <c r="BG28" i="1"/>
  <c r="BF28" i="1"/>
  <c r="BE28" i="1"/>
  <c r="BD28" i="1" s="1"/>
  <c r="AA28" i="1"/>
  <c r="BG27" i="1"/>
  <c r="BF27" i="1"/>
  <c r="BE27" i="1"/>
  <c r="BD27" i="1" s="1"/>
  <c r="AA27" i="1"/>
  <c r="BG26" i="1"/>
  <c r="BF26" i="1"/>
  <c r="BE26" i="1"/>
  <c r="BD26" i="1" s="1"/>
  <c r="BG25" i="1"/>
  <c r="BF25" i="1"/>
  <c r="BE25" i="1"/>
  <c r="AA25" i="1"/>
  <c r="BG24" i="1"/>
  <c r="BF24" i="1"/>
  <c r="BE24" i="1"/>
  <c r="AD24" i="1"/>
  <c r="BD24" i="1" s="1"/>
  <c r="AC24" i="1"/>
  <c r="AA24" i="1"/>
  <c r="BG23" i="1"/>
  <c r="BF23" i="1"/>
  <c r="BE23" i="1"/>
  <c r="AD23" i="1"/>
  <c r="BD23" i="1" s="1"/>
  <c r="AC23" i="1"/>
  <c r="AA23" i="1"/>
  <c r="BG22" i="1"/>
  <c r="BF22" i="1"/>
  <c r="BE22" i="1"/>
  <c r="AA22" i="1"/>
  <c r="Y22" i="1"/>
  <c r="X22" i="1"/>
  <c r="BG21" i="1"/>
  <c r="BF21" i="1"/>
  <c r="BE21" i="1"/>
  <c r="BC21" i="1"/>
  <c r="BD21" i="1" s="1"/>
  <c r="AA21" i="1"/>
  <c r="BG20" i="1"/>
  <c r="BF20" i="1"/>
  <c r="BE20" i="1"/>
  <c r="BD20" i="1" s="1"/>
  <c r="AQ20" i="1"/>
  <c r="AQ213" i="1" s="1"/>
  <c r="AA20" i="1"/>
  <c r="BG19" i="1"/>
  <c r="BF19" i="1"/>
  <c r="BE19" i="1"/>
  <c r="AA19" i="1"/>
  <c r="BG18" i="1"/>
  <c r="BF18" i="1"/>
  <c r="BE18" i="1"/>
  <c r="AD18" i="1"/>
  <c r="BD18" i="1" s="1"/>
  <c r="AC18" i="1"/>
  <c r="AA18" i="1"/>
  <c r="BG17" i="1"/>
  <c r="BF17" i="1"/>
  <c r="BE17" i="1"/>
  <c r="BG16" i="1"/>
  <c r="BF16" i="1"/>
  <c r="BE16" i="1"/>
  <c r="BD16" i="1" s="1"/>
  <c r="BG15" i="1"/>
  <c r="BF15" i="1"/>
  <c r="BE15" i="1"/>
  <c r="AA15" i="1"/>
  <c r="BG14" i="1"/>
  <c r="BF14" i="1"/>
  <c r="BE14" i="1"/>
  <c r="BD14" i="1" s="1"/>
  <c r="AA14" i="1"/>
  <c r="BG13" i="1"/>
  <c r="BF13" i="1"/>
  <c r="BE13" i="1"/>
  <c r="AA13" i="1"/>
  <c r="O13" i="1"/>
  <c r="BD13" i="1" s="1"/>
  <c r="N13" i="1"/>
  <c r="BG12" i="1"/>
  <c r="BF12" i="1"/>
  <c r="BE12" i="1"/>
  <c r="BD12" i="1" s="1"/>
  <c r="BG11" i="1"/>
  <c r="BF11" i="1"/>
  <c r="BE11" i="1"/>
  <c r="BG10" i="1"/>
  <c r="BF10" i="1"/>
  <c r="BE10" i="1"/>
  <c r="BD10" i="1" s="1"/>
  <c r="AA10" i="1"/>
  <c r="BG9" i="1"/>
  <c r="BF9" i="1"/>
  <c r="BE9" i="1"/>
  <c r="BD9" i="1" s="1"/>
  <c r="AA9" i="1"/>
  <c r="BG8" i="1"/>
  <c r="BF8" i="1"/>
  <c r="BE8" i="1"/>
  <c r="BA8" i="1"/>
  <c r="Q8" i="1"/>
  <c r="BD8" i="1" s="1"/>
  <c r="P8" i="1"/>
  <c r="BE7" i="1"/>
  <c r="BD11" i="1" l="1"/>
  <c r="BD35" i="1"/>
  <c r="BD36" i="1"/>
  <c r="BD37" i="1"/>
  <c r="BD38" i="1"/>
  <c r="BD40" i="1"/>
  <c r="BD45" i="1"/>
  <c r="BD51" i="1"/>
  <c r="BD52" i="1"/>
  <c r="BD53" i="1"/>
  <c r="BD54" i="1"/>
  <c r="BD55" i="1"/>
  <c r="BD57" i="1"/>
  <c r="BD58" i="1"/>
  <c r="BD59" i="1"/>
  <c r="BD60" i="1"/>
  <c r="BD63" i="1"/>
  <c r="BD65" i="1"/>
  <c r="BD68" i="1"/>
  <c r="BD72" i="1"/>
  <c r="BD75" i="1"/>
  <c r="BD78" i="1"/>
  <c r="BD80" i="1"/>
  <c r="BD82" i="1"/>
  <c r="BD83" i="1"/>
  <c r="BD85" i="1"/>
  <c r="BD87" i="1"/>
  <c r="BD88" i="1"/>
  <c r="BD89" i="1"/>
  <c r="BD90" i="1"/>
  <c r="BD94" i="1"/>
  <c r="BD99" i="1"/>
  <c r="BD100" i="1"/>
  <c r="BD106" i="1"/>
  <c r="BD109" i="1"/>
  <c r="BD112" i="1"/>
  <c r="BD113" i="1"/>
  <c r="BD114" i="1"/>
  <c r="BD116" i="1"/>
  <c r="BD118" i="1"/>
  <c r="BD119" i="1"/>
  <c r="BD174" i="1"/>
  <c r="BD176" i="1"/>
  <c r="BD15" i="1"/>
  <c r="BD17" i="1"/>
  <c r="BD19" i="1"/>
  <c r="BD22" i="1"/>
  <c r="BD25" i="1"/>
  <c r="AY213" i="1"/>
  <c r="BD44" i="1"/>
  <c r="AB213" i="1"/>
  <c r="BD91" i="1"/>
  <c r="BD128" i="1"/>
  <c r="BD131" i="1"/>
  <c r="BD132" i="1"/>
  <c r="BD133" i="1"/>
  <c r="BD134" i="1"/>
  <c r="BD135" i="1"/>
  <c r="BD136" i="1"/>
  <c r="BD138" i="1"/>
  <c r="BD141" i="1"/>
  <c r="W213" i="1"/>
  <c r="BD142" i="1"/>
  <c r="BD144" i="1"/>
  <c r="BD145" i="1"/>
  <c r="BD146" i="1"/>
  <c r="BD152" i="1"/>
  <c r="BD153" i="1"/>
  <c r="BD154" i="1"/>
  <c r="BD158" i="1"/>
  <c r="BD159" i="1"/>
  <c r="BD160" i="1"/>
  <c r="BD165" i="1"/>
  <c r="BD171" i="1"/>
  <c r="Q213" i="1"/>
  <c r="T213" i="1"/>
  <c r="Z213" i="1"/>
  <c r="AC213" i="1"/>
  <c r="P213" i="1"/>
  <c r="BA213" i="1"/>
  <c r="BF213" i="1"/>
  <c r="O213" i="1"/>
  <c r="Y213" i="1"/>
  <c r="U213" i="1"/>
  <c r="AU213" i="1"/>
  <c r="AN213" i="1"/>
  <c r="BE213" i="1"/>
  <c r="BG213" i="1"/>
  <c r="N213" i="1"/>
  <c r="AD213" i="1"/>
  <c r="BC213" i="1"/>
  <c r="X213" i="1"/>
  <c r="AR213" i="1"/>
  <c r="AA91" i="1"/>
  <c r="AA192" i="1"/>
  <c r="AA213" i="1" l="1"/>
  <c r="BD213" i="1"/>
</calcChain>
</file>

<file path=xl/sharedStrings.xml><?xml version="1.0" encoding="utf-8"?>
<sst xmlns="http://schemas.openxmlformats.org/spreadsheetml/2006/main" count="328" uniqueCount="269">
  <si>
    <t>в т.ч. подробно</t>
  </si>
  <si>
    <t>№ п/п</t>
  </si>
  <si>
    <t>Наименование улицы, номер дома</t>
  </si>
  <si>
    <t>Год постройки</t>
  </si>
  <si>
    <t>Этажность</t>
  </si>
  <si>
    <t>Кол-во квартир</t>
  </si>
  <si>
    <t>Общая площадь дома                         м2</t>
  </si>
  <si>
    <t>Площадь нежилых помещений                         м2</t>
  </si>
  <si>
    <t>Общая полезная площадь жилых помещений,</t>
  </si>
  <si>
    <t xml:space="preserve">  Жилая площадь                            м2</t>
  </si>
  <si>
    <t>Кол-во л/кл</t>
  </si>
  <si>
    <t>Тариф на текущий ремонт 2011 на 1-н кв.м.</t>
  </si>
  <si>
    <t>Месячный доход по статье текущий ремонт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</si>
  <si>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</si>
  <si>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</si>
  <si>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 Герметизация стыков стеновых панелей</t>
  </si>
  <si>
    <t>4. Ремонт фасадов</t>
  </si>
  <si>
    <t>5. Ремонт  лестничных клеток ППР + ЛСП</t>
  </si>
  <si>
    <t>6. Восстановление отделки стен, потолков технических помещений</t>
  </si>
  <si>
    <t>7. Ремонт и замена отдельных участков полов (МОП)</t>
  </si>
  <si>
    <t>8. Замена водосточных труб</t>
  </si>
  <si>
    <t>10. Ремонт отмосток</t>
  </si>
  <si>
    <t>11. Ремонт и замена дверных заполнений</t>
  </si>
  <si>
    <t>12. Ремонт и замена дверей, решёток (металлические)</t>
  </si>
  <si>
    <t xml:space="preserve">13. Ремонт и замена оконных заполнений </t>
  </si>
  <si>
    <t>14. Ремонт балконов, лестниц, козырьков над входами, в подвалы…</t>
  </si>
  <si>
    <t>15. Ремонт мусоропроводов (шиберов, стволов, клапанов)</t>
  </si>
  <si>
    <t>16. Ремонт печей</t>
  </si>
  <si>
    <t>17. Устранение местных деформаций , усиление, востанвление повреждений участков фундаментов</t>
  </si>
  <si>
    <t>18. Ремонт приямков, входов в подвалы</t>
  </si>
  <si>
    <t>19.Ремонт и замена дефлекторов, оголовков труб</t>
  </si>
  <si>
    <t xml:space="preserve">20. Замена и восстановление работо-способности внутри-домовой системы вентилации </t>
  </si>
  <si>
    <t>30. АВР</t>
  </si>
  <si>
    <t>Итого,     расход</t>
  </si>
  <si>
    <t>в т.ч.                 сантехники</t>
  </si>
  <si>
    <t>в т.ч.              электрики</t>
  </si>
  <si>
    <t>в т.ч.             содер. восст. освещения</t>
  </si>
  <si>
    <t>22.1. гвс</t>
  </si>
  <si>
    <t>22.2. хвс</t>
  </si>
  <si>
    <t>22.3. теплоснабже-ние</t>
  </si>
  <si>
    <t>22.4. канализация</t>
  </si>
  <si>
    <t>23. замена приборов  отопления</t>
  </si>
  <si>
    <t>24. замена и ремонт запорной  арматуры</t>
  </si>
  <si>
    <t>25. замена и ремонт э/проводки</t>
  </si>
  <si>
    <t>26. замена и ремонт аппаратов защиты</t>
  </si>
  <si>
    <t>27. ремонт ГРЩ, ВУ, ВРУ, ЭЩ и т.д.</t>
  </si>
  <si>
    <t>с.18. восстановле-ние освещения</t>
  </si>
  <si>
    <r>
      <t xml:space="preserve"> м</t>
    </r>
    <r>
      <rPr>
        <b/>
        <vertAlign val="superscript"/>
        <sz val="10"/>
        <rFont val="Sitka Text"/>
        <charset val="204"/>
      </rPr>
      <t>2</t>
    </r>
  </si>
  <si>
    <r>
      <t xml:space="preserve"> м</t>
    </r>
    <r>
      <rPr>
        <b/>
        <vertAlign val="superscript"/>
        <sz val="10"/>
        <rFont val="Sitka Text"/>
        <charset val="204"/>
      </rPr>
      <t>2
не начисляется</t>
    </r>
  </si>
  <si>
    <t>1.1. жесткая</t>
  </si>
  <si>
    <t>1.2. мягкая</t>
  </si>
  <si>
    <t>2.4. слух.окна</t>
  </si>
  <si>
    <t>2.2. изоляция</t>
  </si>
  <si>
    <t>2.5. др.работы (вентканалы)</t>
  </si>
  <si>
    <t>т.р</t>
  </si>
  <si>
    <t>т.м2</t>
  </si>
  <si>
    <t>т.р.</t>
  </si>
  <si>
    <t>шт</t>
  </si>
  <si>
    <t>м.п.</t>
  </si>
  <si>
    <t>т.п.м.</t>
  </si>
  <si>
    <t>т.п.м</t>
  </si>
  <si>
    <t>1я Нижняя 1</t>
  </si>
  <si>
    <t>1я Нижняя 5</t>
  </si>
  <si>
    <t>Александровская 5</t>
  </si>
  <si>
    <t>Александровская 9/21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</si>
  <si>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</si>
  <si>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</si>
  <si>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</si>
  <si>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</si>
  <si>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</si>
  <si>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</si>
  <si>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</si>
  <si>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</si>
  <si>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</si>
  <si>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</si>
  <si>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</si>
  <si>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</si>
  <si>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</si>
  <si>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</si>
  <si>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</si>
  <si>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</si>
  <si>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</si>
  <si>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</si>
  <si>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</si>
  <si>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</si>
  <si>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</si>
  <si>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</si>
  <si>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Богумиловская 13</t>
  </si>
  <si>
    <t>Богумиловская 15</t>
  </si>
  <si>
    <t>Богумиловская 17</t>
  </si>
  <si>
    <t>Владимирская 4</t>
  </si>
  <si>
    <t>Владимирская 18а</t>
  </si>
  <si>
    <t>Владимирская 20/2</t>
  </si>
  <si>
    <t>Владимирская 21</t>
  </si>
  <si>
    <t>Владимирская 22</t>
  </si>
  <si>
    <t>Владимирская 23</t>
  </si>
  <si>
    <t>Владимирская 24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</si>
  <si>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</si>
  <si>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</si>
  <si>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</si>
  <si>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</si>
  <si>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</si>
  <si>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</si>
  <si>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Дворцовый пр 31</t>
  </si>
  <si>
    <t>Дворцовый пр 32</t>
  </si>
  <si>
    <t>Дворцовый пр 34</t>
  </si>
  <si>
    <t>Дворцовый пр 36</t>
  </si>
  <si>
    <t>Дворцовый пр 38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</si>
  <si>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</si>
  <si>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</si>
  <si>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</si>
  <si>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</si>
  <si>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</si>
  <si>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</si>
  <si>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Дегтярева 25</t>
  </si>
  <si>
    <t>Дегтярева 27</t>
  </si>
  <si>
    <t>Еленинская 9/1</t>
  </si>
  <si>
    <t>Еленинская 21</t>
  </si>
  <si>
    <t>Еленинская 27/10</t>
  </si>
  <si>
    <t>Еленинская 29</t>
  </si>
  <si>
    <t>Еленинская 31</t>
  </si>
  <si>
    <t>Ж.Антоненко 5</t>
  </si>
  <si>
    <t>Ж.Антоненко 6</t>
  </si>
  <si>
    <t>Ж.Антоненко 6 к.1</t>
  </si>
  <si>
    <t xml:space="preserve">Ж.Антоненко 8                  </t>
  </si>
  <si>
    <t>Ж.Антоненко 12</t>
  </si>
  <si>
    <t>Ж.Антоненко 14а</t>
  </si>
  <si>
    <t>Ж.Антоненко 16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</si>
  <si>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</si>
  <si>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</si>
  <si>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</si>
  <si>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</si>
  <si>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</si>
  <si>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</si>
  <si>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</si>
  <si>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Костылева 14</t>
  </si>
  <si>
    <t>Костылева 16</t>
  </si>
  <si>
    <t>Костылева 17</t>
  </si>
  <si>
    <t>Красноармейская 4</t>
  </si>
  <si>
    <t>Красноармейская 8</t>
  </si>
  <si>
    <t>Красноармейская 10</t>
  </si>
  <si>
    <t>Красноармейская 12</t>
  </si>
  <si>
    <t>Красноармейская 14</t>
  </si>
  <si>
    <t>Красноармейская 23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</si>
  <si>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</si>
  <si>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</si>
  <si>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</si>
  <si>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</si>
  <si>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</si>
  <si>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Красного Флота 1</t>
  </si>
  <si>
    <t>Красного Флота 1а</t>
  </si>
  <si>
    <t xml:space="preserve">Красного Флота 1б            </t>
  </si>
  <si>
    <t>Красного Флота 3</t>
  </si>
  <si>
    <t>Красного Флота 4</t>
  </si>
  <si>
    <t>Красного Флота 6</t>
  </si>
  <si>
    <t>Красного Флота 5</t>
  </si>
  <si>
    <t>Красного Флота 7</t>
  </si>
  <si>
    <t>Красного Флота 7а</t>
  </si>
  <si>
    <t>Красного Флота 9/46</t>
  </si>
  <si>
    <t>Красного Флота 20/41</t>
  </si>
  <si>
    <t>Красного Флота 30</t>
  </si>
  <si>
    <t>Красного Флота 30а</t>
  </si>
  <si>
    <t>Кронштадтская 4</t>
  </si>
  <si>
    <t>Кронштадтская 4а</t>
  </si>
  <si>
    <t>Кронштадтская 6/49</t>
  </si>
  <si>
    <t>Кронштадтская 7</t>
  </si>
  <si>
    <t>Ломоносова 2</t>
  </si>
  <si>
    <t>Ломоносова 12</t>
  </si>
  <si>
    <t>Ломоносова 12а</t>
  </si>
  <si>
    <t>Ломоносова 14</t>
  </si>
  <si>
    <t>Ломоносова 14а</t>
  </si>
  <si>
    <t>Михайловская 18а</t>
  </si>
  <si>
    <t>Михайловская 24/22</t>
  </si>
  <si>
    <t>Морская 84а</t>
  </si>
  <si>
    <t>Морская 86а</t>
  </si>
  <si>
    <t>Некрасова 1 к.1</t>
  </si>
  <si>
    <t>Некрасова 1 к.2</t>
  </si>
  <si>
    <t>Ораниенбаумский пр 21</t>
  </si>
  <si>
    <t>Ораниенбаумский пр 21 к.2</t>
  </si>
  <si>
    <t>Ораниенбаумский пр 27</t>
  </si>
  <si>
    <t>Ораниенбаумский пр 27 к.2</t>
  </si>
  <si>
    <t xml:space="preserve">Ораниенбаумский пр 29  </t>
  </si>
  <si>
    <t>Ораниенбаумский пр.31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</si>
  <si>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</si>
  <si>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</si>
  <si>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</si>
  <si>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</si>
  <si>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</si>
  <si>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</si>
  <si>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</si>
  <si>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</si>
  <si>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</si>
  <si>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</si>
  <si>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</si>
  <si>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</si>
  <si>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</si>
  <si>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Петровский 3/13</t>
  </si>
  <si>
    <t>Петровский 4</t>
  </si>
  <si>
    <t>Победы 1</t>
  </si>
  <si>
    <t>Победы 2</t>
  </si>
  <si>
    <t>Победы 3</t>
  </si>
  <si>
    <t>Победы 3а</t>
  </si>
  <si>
    <t>Победы 5</t>
  </si>
  <si>
    <t>Победы 9</t>
  </si>
  <si>
    <t>Победы 11</t>
  </si>
  <si>
    <t>Победы 11а</t>
  </si>
  <si>
    <t>Победы 11б</t>
  </si>
  <si>
    <t>Победы 12</t>
  </si>
  <si>
    <t>Победы 15</t>
  </si>
  <si>
    <t>Победы 19</t>
  </si>
  <si>
    <t>Победы 20 к.1</t>
  </si>
  <si>
    <t>Победы 21</t>
  </si>
  <si>
    <t>Победы 21а</t>
  </si>
  <si>
    <t>Победы 22/7</t>
  </si>
  <si>
    <t>Победы 23</t>
  </si>
  <si>
    <t>Победы 16/12</t>
  </si>
  <si>
    <t>Победы 32 к.2</t>
  </si>
  <si>
    <t>Победы 34 к.1</t>
  </si>
  <si>
    <t>Победы 36 к.1</t>
  </si>
  <si>
    <t>Победы 36 к.2</t>
  </si>
  <si>
    <t>Победы 6</t>
  </si>
  <si>
    <t>Профсоюзная 11а</t>
  </si>
  <si>
    <t>Профсоюзная 25</t>
  </si>
  <si>
    <t>Профсоюзная 26</t>
  </si>
  <si>
    <t>Пулеметчиков 20</t>
  </si>
  <si>
    <t>Пулеметчиков 20а</t>
  </si>
  <si>
    <t>Рубакина 12</t>
  </si>
  <si>
    <t>Сафронова 1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</si>
  <si>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</si>
  <si>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</si>
  <si>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</si>
  <si>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</si>
  <si>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</si>
  <si>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</si>
  <si>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</si>
  <si>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Сафронова 10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</si>
  <si>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</si>
  <si>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</si>
  <si>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</si>
  <si>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</si>
  <si>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</si>
  <si>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</si>
  <si>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</si>
  <si>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 xml:space="preserve">Федюнинского 3 к.1      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</si>
  <si>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</si>
  <si>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</si>
  <si>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</si>
  <si>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</si>
  <si>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</si>
  <si>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Федюнинского 14 к 1</t>
  </si>
  <si>
    <t>Федюнинского 14 к.2</t>
  </si>
  <si>
    <t xml:space="preserve">Федюнинского 16 </t>
  </si>
  <si>
    <t>Черникова 22</t>
  </si>
  <si>
    <t>Швейцарская 1</t>
  </si>
  <si>
    <t>Швейцарская 2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</si>
  <si>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</si>
  <si>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</si>
  <si>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</si>
  <si>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</si>
  <si>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</si>
  <si>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</si>
  <si>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</si>
  <si>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</si>
  <si>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</si>
  <si>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</si>
  <si>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24</t>
  </si>
  <si>
    <t>Итого, по договорам на упрапвление</t>
  </si>
  <si>
    <t>2016 год</t>
  </si>
  <si>
    <t>Отчёт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</si>
</sst>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#,##0.000"/>
    <numFmt numFmtId="166" formatCode="_-* #,##0.000\ _₽_-;\-* #,##0.000\ _₽_-;_-* &quot;-&quot;???\ _₽_-;_-@_-"/>
    <numFmt numFmtId="167" formatCode="_-* #,##0\ _₽_-;\-* #,##0\ _₽_-;_-* &quot;-&quot;???\ _₽_-;_-@_-"/>
    <numFmt numFmtId="168" formatCode="#,##0.0"/>
    <numFmt numFmtId="169" formatCode="#,##0.0000000"/>
    <numFmt numFmtId="170" formatCode="0.0000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Sitka Text"/>
      <charset val="204"/>
    </font>
    <font>
      <b/>
      <sz val="10"/>
      <color indexed="8"/>
      <name val="Sitka Text"/>
      <charset val="204"/>
    </font>
    <font>
      <b/>
      <sz val="8"/>
      <name val="Sitka Text"/>
      <charset val="204"/>
    </font>
    <font>
      <b/>
      <sz val="8"/>
      <color indexed="8"/>
      <name val="Sitka Text"/>
      <charset val="204"/>
    </font>
    <font>
      <b/>
      <vertAlign val="superscript"/>
      <sz val="10"/>
      <name val="Sitka Text"/>
      <charset val="204"/>
    </font>
    <font>
      <sz val="8"/>
      <name val="Sitka Text"/>
      <charset val="204"/>
    </font>
    <font>
      <sz val="10"/>
      <color indexed="8"/>
      <name val="Sitka Text"/>
      <charset val="204"/>
    </font>
    <font>
      <sz val="10"/>
      <name val="Sitka Text"/>
      <charset val="204"/>
    </font>
    <font>
      <b/>
      <sz val="10"/>
      <color theme="1"/>
      <name val="Sitka Text"/>
      <charset val="204"/>
    </font>
    <font>
      <sz val="10"/>
      <color theme="1"/>
      <name val="Sitka Text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2" fillId="0" borderId="0" xfId="1" applyNumberFormat="1" applyFont="1" applyAlignment="1">
      <alignment horizontal="center"/>
    </xf>
    <xf numFmtId="0" fontId="3" fillId="0" borderId="0" xfId="1" applyNumberFormat="1" applyFont="1" applyAlignment="1">
      <alignment vertical="center"/>
    </xf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2" fillId="0" borderId="0" xfId="1" applyNumberFormat="1" applyFont="1" applyBorder="1" applyAlignment="1">
      <alignment horizontal="center"/>
    </xf>
    <xf numFmtId="165" fontId="2" fillId="0" borderId="0" xfId="1" applyNumberFormat="1" applyFont="1"/>
    <xf numFmtId="0" fontId="4" fillId="0" borderId="1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right" vertical="top" wrapText="1"/>
    </xf>
    <xf numFmtId="0" fontId="4" fillId="0" borderId="0" xfId="1" applyNumberFormat="1" applyFont="1" applyAlignment="1">
      <alignment horizontal="right"/>
    </xf>
    <xf numFmtId="0" fontId="4" fillId="0" borderId="0" xfId="1" applyNumberFormat="1" applyFont="1"/>
    <xf numFmtId="164" fontId="4" fillId="0" borderId="0" xfId="1" applyNumberFormat="1" applyFont="1"/>
    <xf numFmtId="0" fontId="4" fillId="0" borderId="4" xfId="1" applyNumberFormat="1" applyFont="1" applyBorder="1" applyAlignment="1"/>
    <xf numFmtId="0" fontId="4" fillId="0" borderId="5" xfId="1" applyNumberFormat="1" applyFont="1" applyBorder="1" applyAlignment="1"/>
    <xf numFmtId="0" fontId="4" fillId="0" borderId="6" xfId="1" applyNumberFormat="1" applyFont="1" applyBorder="1" applyAlignment="1"/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textRotation="1"/>
    </xf>
    <xf numFmtId="0" fontId="6" fillId="0" borderId="2" xfId="1" applyFont="1" applyFill="1" applyBorder="1" applyAlignment="1">
      <alignment horizontal="center" vertical="center" textRotation="1"/>
    </xf>
    <xf numFmtId="0" fontId="6" fillId="0" borderId="3" xfId="1" applyFont="1" applyFill="1" applyBorder="1" applyAlignment="1">
      <alignment horizontal="center" vertical="center" textRotation="1"/>
    </xf>
    <xf numFmtId="0" fontId="6" fillId="0" borderId="13" xfId="1" applyFont="1" applyFill="1" applyBorder="1" applyAlignment="1">
      <alignment horizontal="center" vertical="center" textRotation="1" wrapText="1"/>
    </xf>
    <xf numFmtId="0" fontId="6" fillId="0" borderId="3" xfId="1" applyFont="1" applyFill="1" applyBorder="1" applyAlignment="1">
      <alignment horizontal="center" vertical="center" textRotation="1" wrapText="1"/>
    </xf>
    <xf numFmtId="0" fontId="7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0" fontId="5" fillId="0" borderId="2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textRotation="1"/>
    </xf>
    <xf numFmtId="0" fontId="6" fillId="0" borderId="26" xfId="1" applyFont="1" applyFill="1" applyBorder="1" applyAlignment="1">
      <alignment horizontal="center" vertical="center" textRotation="1"/>
    </xf>
    <xf numFmtId="0" fontId="6" fillId="0" borderId="25" xfId="1" applyFont="1" applyFill="1" applyBorder="1" applyAlignment="1">
      <alignment horizontal="center" vertical="center" textRotation="1"/>
    </xf>
    <xf numFmtId="0" fontId="6" fillId="0" borderId="24" xfId="1" applyFont="1" applyFill="1" applyBorder="1" applyAlignment="1">
      <alignment horizontal="center" vertical="center" textRotation="1" wrapText="1"/>
    </xf>
    <xf numFmtId="0" fontId="6" fillId="0" borderId="25" xfId="1" applyFont="1" applyFill="1" applyBorder="1" applyAlignment="1">
      <alignment horizontal="center" vertical="center" textRotation="1" wrapText="1"/>
    </xf>
    <xf numFmtId="0" fontId="10" fillId="0" borderId="27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164" fontId="6" fillId="0" borderId="24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8" fillId="0" borderId="27" xfId="1" applyNumberFormat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5" fillId="0" borderId="28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5" fillId="0" borderId="31" xfId="1" applyNumberFormat="1" applyFont="1" applyBorder="1" applyAlignment="1">
      <alignment horizontal="center" vertical="center" wrapText="1"/>
    </xf>
    <xf numFmtId="0" fontId="5" fillId="0" borderId="32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 wrapText="1"/>
    </xf>
    <xf numFmtId="0" fontId="5" fillId="0" borderId="34" xfId="1" applyNumberFormat="1" applyFont="1" applyBorder="1" applyAlignment="1">
      <alignment horizontal="center" vertical="center" wrapText="1"/>
    </xf>
    <xf numFmtId="0" fontId="5" fillId="0" borderId="35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64" fontId="6" fillId="0" borderId="36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2" fillId="0" borderId="31" xfId="1" applyNumberFormat="1" applyFont="1" applyBorder="1" applyAlignment="1">
      <alignment horizontal="center" vertical="top" wrapText="1"/>
    </xf>
    <xf numFmtId="0" fontId="12" fillId="0" borderId="32" xfId="1" applyNumberFormat="1" applyFont="1" applyBorder="1" applyAlignment="1">
      <alignment horizontal="center" vertical="top" wrapText="1"/>
    </xf>
    <xf numFmtId="0" fontId="12" fillId="0" borderId="33" xfId="1" applyNumberFormat="1" applyFont="1" applyBorder="1" applyAlignment="1">
      <alignment horizontal="right" vertical="top" wrapText="1"/>
    </xf>
    <xf numFmtId="0" fontId="12" fillId="0" borderId="34" xfId="1" applyNumberFormat="1" applyFont="1" applyBorder="1" applyAlignment="1">
      <alignment horizontal="right" vertical="top" wrapText="1"/>
    </xf>
    <xf numFmtId="0" fontId="12" fillId="0" borderId="32" xfId="1" applyNumberFormat="1" applyFont="1" applyBorder="1" applyAlignment="1">
      <alignment horizontal="right" vertical="top" wrapText="1"/>
    </xf>
    <xf numFmtId="0" fontId="12" fillId="0" borderId="32" xfId="1" applyNumberFormat="1" applyFont="1" applyBorder="1" applyAlignment="1">
      <alignment horizontal="center" wrapText="1"/>
    </xf>
    <xf numFmtId="0" fontId="12" fillId="0" borderId="32" xfId="1" applyNumberFormat="1" applyFont="1" applyBorder="1"/>
    <xf numFmtId="0" fontId="12" fillId="0" borderId="35" xfId="1" applyNumberFormat="1" applyFont="1" applyBorder="1"/>
    <xf numFmtId="0" fontId="12" fillId="0" borderId="33" xfId="1" applyNumberFormat="1" applyFont="1" applyBorder="1"/>
    <xf numFmtId="0" fontId="12" fillId="0" borderId="4" xfId="1" applyNumberFormat="1" applyFont="1" applyBorder="1"/>
    <xf numFmtId="164" fontId="12" fillId="0" borderId="33" xfId="1" applyNumberFormat="1" applyFont="1" applyFill="1" applyBorder="1"/>
    <xf numFmtId="164" fontId="12" fillId="0" borderId="4" xfId="1" applyNumberFormat="1" applyFont="1" applyFill="1" applyBorder="1"/>
    <xf numFmtId="164" fontId="12" fillId="0" borderId="5" xfId="1" applyNumberFormat="1" applyFont="1" applyFill="1" applyBorder="1"/>
    <xf numFmtId="0" fontId="12" fillId="0" borderId="33" xfId="1" applyNumberFormat="1" applyFont="1" applyFill="1" applyBorder="1"/>
    <xf numFmtId="0" fontId="12" fillId="0" borderId="36" xfId="1" applyNumberFormat="1" applyFont="1" applyFill="1" applyBorder="1"/>
    <xf numFmtId="0" fontId="12" fillId="0" borderId="4" xfId="1" applyNumberFormat="1" applyFont="1" applyFill="1" applyBorder="1"/>
    <xf numFmtId="0" fontId="12" fillId="0" borderId="5" xfId="1" applyNumberFormat="1" applyFont="1" applyFill="1" applyBorder="1"/>
    <xf numFmtId="0" fontId="12" fillId="0" borderId="6" xfId="1" applyNumberFormat="1" applyFont="1" applyFill="1" applyBorder="1"/>
    <xf numFmtId="0" fontId="12" fillId="0" borderId="6" xfId="1" applyNumberFormat="1" applyFont="1" applyBorder="1"/>
    <xf numFmtId="0" fontId="12" fillId="0" borderId="36" xfId="1" applyNumberFormat="1" applyFont="1" applyBorder="1"/>
    <xf numFmtId="164" fontId="12" fillId="0" borderId="36" xfId="1" applyNumberFormat="1" applyFont="1" applyFill="1" applyBorder="1"/>
    <xf numFmtId="0" fontId="12" fillId="0" borderId="5" xfId="1" applyNumberFormat="1" applyFont="1" applyBorder="1"/>
    <xf numFmtId="0" fontId="5" fillId="0" borderId="36" xfId="1" applyNumberFormat="1" applyFont="1" applyBorder="1"/>
    <xf numFmtId="0" fontId="12" fillId="0" borderId="37" xfId="1" applyNumberFormat="1" applyFont="1" applyBorder="1"/>
    <xf numFmtId="0" fontId="12" fillId="0" borderId="38" xfId="1" applyNumberFormat="1" applyFont="1" applyBorder="1" applyAlignment="1">
      <alignment horizontal="center" vertical="top" wrapText="1"/>
    </xf>
    <xf numFmtId="0" fontId="13" fillId="0" borderId="39" xfId="1" applyNumberFormat="1" applyFont="1" applyBorder="1" applyAlignment="1">
      <alignment horizontal="justify" vertical="top" wrapText="1"/>
    </xf>
    <xf numFmtId="0" fontId="12" fillId="0" borderId="40" xfId="1" applyNumberFormat="1" applyFont="1" applyBorder="1" applyAlignment="1">
      <alignment horizontal="center" vertical="top" wrapText="1"/>
    </xf>
    <xf numFmtId="0" fontId="12" fillId="0" borderId="41" xfId="1" applyNumberFormat="1" applyFont="1" applyBorder="1" applyAlignment="1">
      <alignment horizontal="right" vertical="top" wrapText="1"/>
    </xf>
    <xf numFmtId="0" fontId="12" fillId="0" borderId="42" xfId="1" applyNumberFormat="1" applyFont="1" applyBorder="1" applyAlignment="1">
      <alignment horizontal="right" vertical="top" wrapText="1"/>
    </xf>
    <xf numFmtId="0" fontId="12" fillId="0" borderId="40" xfId="1" applyNumberFormat="1" applyFont="1" applyBorder="1" applyAlignment="1">
      <alignment horizontal="right" vertical="top" wrapText="1"/>
    </xf>
    <xf numFmtId="0" fontId="12" fillId="0" borderId="40" xfId="1" applyNumberFormat="1" applyFont="1" applyBorder="1" applyAlignment="1">
      <alignment horizontal="center" wrapText="1"/>
    </xf>
    <xf numFmtId="0" fontId="12" fillId="0" borderId="40" xfId="1" applyNumberFormat="1" applyFont="1" applyBorder="1"/>
    <xf numFmtId="0" fontId="12" fillId="0" borderId="43" xfId="1" applyNumberFormat="1" applyFont="1" applyBorder="1"/>
    <xf numFmtId="166" fontId="12" fillId="0" borderId="44" xfId="1" applyNumberFormat="1" applyFont="1" applyBorder="1"/>
    <xf numFmtId="166" fontId="12" fillId="0" borderId="39" xfId="1" applyNumberFormat="1" applyFont="1" applyBorder="1"/>
    <xf numFmtId="166" fontId="12" fillId="0" borderId="45" xfId="1" applyNumberFormat="1" applyFont="1" applyFill="1" applyBorder="1"/>
    <xf numFmtId="166" fontId="12" fillId="0" borderId="44" xfId="1" applyNumberFormat="1" applyFont="1" applyFill="1" applyBorder="1"/>
    <xf numFmtId="166" fontId="12" fillId="0" borderId="39" xfId="1" applyNumberFormat="1" applyFont="1" applyFill="1" applyBorder="1"/>
    <xf numFmtId="166" fontId="12" fillId="0" borderId="46" xfId="1" applyNumberFormat="1" applyFont="1" applyFill="1" applyBorder="1"/>
    <xf numFmtId="166" fontId="14" fillId="0" borderId="44" xfId="1" applyNumberFormat="1" applyFont="1" applyFill="1" applyBorder="1"/>
    <xf numFmtId="166" fontId="14" fillId="0" borderId="45" xfId="1" applyNumberFormat="1" applyFont="1" applyFill="1" applyBorder="1"/>
    <xf numFmtId="166" fontId="12" fillId="0" borderId="45" xfId="1" applyNumberFormat="1" applyFont="1" applyBorder="1"/>
    <xf numFmtId="166" fontId="12" fillId="0" borderId="47" xfId="1" applyNumberFormat="1" applyFont="1" applyBorder="1"/>
    <xf numFmtId="166" fontId="12" fillId="0" borderId="47" xfId="1" applyNumberFormat="1" applyFont="1" applyFill="1" applyBorder="1"/>
    <xf numFmtId="166" fontId="12" fillId="0" borderId="46" xfId="1" applyNumberFormat="1" applyFont="1" applyBorder="1"/>
    <xf numFmtId="166" fontId="5" fillId="3" borderId="48" xfId="1" applyNumberFormat="1" applyFont="1" applyFill="1" applyBorder="1"/>
    <xf numFmtId="166" fontId="12" fillId="0" borderId="37" xfId="1" applyNumberFormat="1" applyFont="1" applyBorder="1"/>
    <xf numFmtId="166" fontId="12" fillId="0" borderId="49" xfId="1" applyNumberFormat="1" applyFont="1" applyBorder="1"/>
    <xf numFmtId="167" fontId="12" fillId="0" borderId="39" xfId="1" applyNumberFormat="1" applyFont="1" applyBorder="1"/>
    <xf numFmtId="1" fontId="0" fillId="0" borderId="0" xfId="0" applyNumberFormat="1"/>
    <xf numFmtId="164" fontId="0" fillId="0" borderId="0" xfId="0" applyNumberFormat="1"/>
    <xf numFmtId="166" fontId="12" fillId="0" borderId="50" xfId="1" applyNumberFormat="1" applyFont="1" applyBorder="1"/>
    <xf numFmtId="0" fontId="13" fillId="0" borderId="49" xfId="1" applyNumberFormat="1" applyFont="1" applyBorder="1" applyAlignment="1">
      <alignment horizontal="justify" vertical="top" wrapText="1"/>
    </xf>
    <xf numFmtId="166" fontId="12" fillId="0" borderId="51" xfId="1" applyNumberFormat="1" applyFont="1" applyFill="1" applyBorder="1"/>
    <xf numFmtId="166" fontId="12" fillId="0" borderId="37" xfId="1" applyNumberFormat="1" applyFont="1" applyFill="1" applyBorder="1"/>
    <xf numFmtId="166" fontId="12" fillId="0" borderId="49" xfId="1" applyNumberFormat="1" applyFont="1" applyFill="1" applyBorder="1"/>
    <xf numFmtId="166" fontId="12" fillId="0" borderId="52" xfId="1" applyNumberFormat="1" applyFont="1" applyFill="1" applyBorder="1"/>
    <xf numFmtId="166" fontId="14" fillId="0" borderId="37" xfId="1" applyNumberFormat="1" applyFont="1" applyFill="1" applyBorder="1"/>
    <xf numFmtId="166" fontId="14" fillId="0" borderId="51" xfId="1" applyNumberFormat="1" applyFont="1" applyFill="1" applyBorder="1"/>
    <xf numFmtId="166" fontId="12" fillId="0" borderId="51" xfId="1" applyNumberFormat="1" applyFont="1" applyBorder="1"/>
    <xf numFmtId="166" fontId="12" fillId="0" borderId="48" xfId="1" applyNumberFormat="1" applyFont="1" applyBorder="1"/>
    <xf numFmtId="166" fontId="12" fillId="0" borderId="48" xfId="1" applyNumberFormat="1" applyFont="1" applyFill="1" applyBorder="1"/>
    <xf numFmtId="166" fontId="12" fillId="0" borderId="52" xfId="1" applyNumberFormat="1" applyFont="1" applyBorder="1"/>
    <xf numFmtId="167" fontId="12" fillId="0" borderId="49" xfId="1" applyNumberFormat="1" applyFont="1" applyBorder="1"/>
    <xf numFmtId="164" fontId="12" fillId="0" borderId="49" xfId="1" applyNumberFormat="1" applyFont="1" applyBorder="1"/>
    <xf numFmtId="0" fontId="13" fillId="0" borderId="49" xfId="1" applyNumberFormat="1" applyFont="1" applyFill="1" applyBorder="1" applyAlignment="1">
      <alignment horizontal="justify" vertical="top" wrapText="1"/>
    </xf>
    <xf numFmtId="166" fontId="12" fillId="0" borderId="53" xfId="1" applyNumberFormat="1" applyFont="1" applyBorder="1"/>
    <xf numFmtId="1" fontId="0" fillId="0" borderId="49" xfId="0" applyNumberFormat="1" applyBorder="1"/>
    <xf numFmtId="164" fontId="0" fillId="0" borderId="49" xfId="0" applyNumberFormat="1" applyBorder="1"/>
    <xf numFmtId="0" fontId="2" fillId="0" borderId="49" xfId="1" applyNumberFormat="1" applyFont="1" applyBorder="1"/>
    <xf numFmtId="0" fontId="13" fillId="4" borderId="49" xfId="1" applyNumberFormat="1" applyFont="1" applyFill="1" applyBorder="1" applyAlignment="1">
      <alignment horizontal="justify" vertical="top" wrapText="1"/>
    </xf>
    <xf numFmtId="166" fontId="14" fillId="0" borderId="49" xfId="1" applyNumberFormat="1" applyFont="1" applyBorder="1"/>
    <xf numFmtId="0" fontId="13" fillId="4" borderId="49" xfId="1" applyFont="1" applyFill="1" applyBorder="1" applyAlignment="1">
      <alignment vertical="top" wrapText="1"/>
    </xf>
    <xf numFmtId="0" fontId="12" fillId="4" borderId="40" xfId="1" applyNumberFormat="1" applyFont="1" applyFill="1" applyBorder="1" applyAlignment="1">
      <alignment horizontal="center" vertical="top" wrapText="1"/>
    </xf>
    <xf numFmtId="0" fontId="12" fillId="4" borderId="41" xfId="1" applyNumberFormat="1" applyFont="1" applyFill="1" applyBorder="1" applyAlignment="1">
      <alignment horizontal="right" vertical="top" wrapText="1"/>
    </xf>
    <xf numFmtId="0" fontId="12" fillId="4" borderId="42" xfId="1" applyNumberFormat="1" applyFont="1" applyFill="1" applyBorder="1" applyAlignment="1">
      <alignment horizontal="right" vertical="top" wrapText="1"/>
    </xf>
    <xf numFmtId="0" fontId="12" fillId="4" borderId="40" xfId="1" applyNumberFormat="1" applyFont="1" applyFill="1" applyBorder="1" applyAlignment="1">
      <alignment horizontal="right" vertical="top" wrapText="1"/>
    </xf>
    <xf numFmtId="0" fontId="12" fillId="4" borderId="40" xfId="1" applyNumberFormat="1" applyFont="1" applyFill="1" applyBorder="1" applyAlignment="1">
      <alignment horizontal="center" wrapText="1"/>
    </xf>
    <xf numFmtId="0" fontId="12" fillId="4" borderId="40" xfId="1" applyNumberFormat="1" applyFont="1" applyFill="1" applyBorder="1"/>
    <xf numFmtId="0" fontId="12" fillId="4" borderId="43" xfId="1" applyNumberFormat="1" applyFont="1" applyFill="1" applyBorder="1"/>
    <xf numFmtId="0" fontId="13" fillId="0" borderId="49" xfId="1" applyNumberFormat="1" applyFont="1" applyFill="1" applyBorder="1" applyAlignment="1">
      <alignment wrapText="1"/>
    </xf>
    <xf numFmtId="0" fontId="13" fillId="0" borderId="50" xfId="1" applyNumberFormat="1" applyFont="1" applyBorder="1" applyAlignment="1">
      <alignment horizontal="justify" vertical="top" wrapText="1"/>
    </xf>
    <xf numFmtId="166" fontId="12" fillId="0" borderId="54" xfId="1" applyNumberFormat="1" applyFont="1" applyBorder="1"/>
    <xf numFmtId="166" fontId="12" fillId="0" borderId="55" xfId="1" applyNumberFormat="1" applyFont="1" applyFill="1" applyBorder="1"/>
    <xf numFmtId="166" fontId="12" fillId="0" borderId="54" xfId="1" applyNumberFormat="1" applyFont="1" applyFill="1" applyBorder="1"/>
    <xf numFmtId="166" fontId="12" fillId="0" borderId="50" xfId="1" applyNumberFormat="1" applyFont="1" applyFill="1" applyBorder="1"/>
    <xf numFmtId="166" fontId="12" fillId="0" borderId="56" xfId="1" applyNumberFormat="1" applyFont="1" applyFill="1" applyBorder="1"/>
    <xf numFmtId="166" fontId="14" fillId="0" borderId="54" xfId="1" applyNumberFormat="1" applyFont="1" applyFill="1" applyBorder="1"/>
    <xf numFmtId="166" fontId="14" fillId="0" borderId="55" xfId="1" applyNumberFormat="1" applyFont="1" applyFill="1" applyBorder="1"/>
    <xf numFmtId="166" fontId="12" fillId="0" borderId="55" xfId="1" applyNumberFormat="1" applyFont="1" applyBorder="1"/>
    <xf numFmtId="166" fontId="12" fillId="0" borderId="57" xfId="1" applyNumberFormat="1" applyFont="1" applyBorder="1"/>
    <xf numFmtId="166" fontId="12" fillId="0" borderId="57" xfId="1" applyNumberFormat="1" applyFont="1" applyFill="1" applyBorder="1"/>
    <xf numFmtId="166" fontId="12" fillId="0" borderId="56" xfId="1" applyNumberFormat="1" applyFont="1" applyBorder="1"/>
    <xf numFmtId="167" fontId="12" fillId="0" borderId="50" xfId="1" applyNumberFormat="1" applyFont="1" applyBorder="1"/>
    <xf numFmtId="0" fontId="12" fillId="0" borderId="31" xfId="1" applyNumberFormat="1" applyFont="1" applyFill="1" applyBorder="1" applyAlignment="1">
      <alignment horizontal="left" vertical="top" wrapText="1"/>
    </xf>
    <xf numFmtId="0" fontId="12" fillId="0" borderId="32" xfId="1" applyNumberFormat="1" applyFont="1" applyFill="1" applyBorder="1" applyAlignment="1">
      <alignment horizontal="left" vertical="top" wrapText="1"/>
    </xf>
    <xf numFmtId="0" fontId="12" fillId="0" borderId="32" xfId="1" applyFont="1" applyBorder="1"/>
    <xf numFmtId="1" fontId="12" fillId="0" borderId="33" xfId="1" applyNumberFormat="1" applyFont="1" applyBorder="1"/>
    <xf numFmtId="1" fontId="5" fillId="0" borderId="34" xfId="1" applyNumberFormat="1" applyFont="1" applyBorder="1"/>
    <xf numFmtId="1" fontId="5" fillId="0" borderId="32" xfId="1" applyNumberFormat="1" applyFont="1" applyBorder="1"/>
    <xf numFmtId="168" fontId="5" fillId="0" borderId="35" xfId="1" applyNumberFormat="1" applyFont="1" applyBorder="1"/>
    <xf numFmtId="166" fontId="5" fillId="0" borderId="31" xfId="1" applyNumberFormat="1" applyFont="1" applyBorder="1"/>
    <xf numFmtId="166" fontId="5" fillId="0" borderId="33" xfId="1" applyNumberFormat="1" applyFont="1" applyBorder="1"/>
    <xf numFmtId="166" fontId="5" fillId="0" borderId="32" xfId="1" applyNumberFormat="1" applyFont="1" applyBorder="1"/>
    <xf numFmtId="166" fontId="5" fillId="0" borderId="36" xfId="1" applyNumberFormat="1" applyFont="1" applyBorder="1"/>
    <xf numFmtId="166" fontId="5" fillId="0" borderId="5" xfId="1" applyNumberFormat="1" applyFont="1" applyBorder="1"/>
    <xf numFmtId="166" fontId="5" fillId="3" borderId="36" xfId="1" applyNumberFormat="1" applyFont="1" applyFill="1" applyBorder="1"/>
    <xf numFmtId="166" fontId="5" fillId="0" borderId="32" xfId="1" applyNumberFormat="1" applyFont="1" applyFill="1" applyBorder="1"/>
    <xf numFmtId="167" fontId="5" fillId="0" borderId="32" xfId="1" applyNumberFormat="1" applyFont="1" applyBorder="1"/>
    <xf numFmtId="169" fontId="2" fillId="0" borderId="0" xfId="1" applyNumberFormat="1" applyFont="1" applyAlignment="1"/>
    <xf numFmtId="17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0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7"/>
  <sheetViews>
    <sheetView tabSelected="1" workbookViewId="0">
      <selection activeCell="R27" sqref="R27"/>
    </sheetView>
  </sheetViews>
  <sheetFormatPr defaultRowHeight="15.75" outlineLevelCol="1"/>
  <cols>
    <col min="1" max="1" width="5.5703125" style="1" customWidth="1"/>
    <col min="2" max="2" width="29.42578125" style="3" customWidth="1"/>
    <col min="3" max="3" width="13.5703125" style="3" hidden="1" customWidth="1" outlineLevel="1"/>
    <col min="4" max="4" width="13.28515625" style="4" hidden="1" customWidth="1" outlineLevel="1"/>
    <col min="5" max="6" width="10" style="4" hidden="1" customWidth="1" outlineLevel="1"/>
    <col min="7" max="7" width="19.28515625" style="4" hidden="1" customWidth="1" outlineLevel="1"/>
    <col min="8" max="9" width="16.85546875" style="4" hidden="1" customWidth="1" outlineLevel="1"/>
    <col min="10" max="10" width="10.140625" style="4" hidden="1" customWidth="1" outlineLevel="1"/>
    <col min="11" max="11" width="8.7109375" style="3" hidden="1" customWidth="1" outlineLevel="1"/>
    <col min="12" max="12" width="12.85546875" style="3" hidden="1" customWidth="1" outlineLevel="1"/>
    <col min="13" max="13" width="15.42578125" style="3" hidden="1" customWidth="1" outlineLevel="1"/>
    <col min="14" max="14" width="14.5703125" style="3" customWidth="1" collapsed="1"/>
    <col min="15" max="17" width="14.5703125" style="3" customWidth="1"/>
    <col min="18" max="22" width="14.5703125" style="5" customWidth="1"/>
    <col min="23" max="55" width="14.5703125" style="3" customWidth="1"/>
    <col min="56" max="56" width="16.140625" style="3" customWidth="1"/>
    <col min="57" max="60" width="14.5703125" style="3" customWidth="1"/>
    <col min="61" max="61" width="14.42578125" style="3" customWidth="1"/>
    <col min="62" max="79" width="14.5703125" style="3" customWidth="1"/>
    <col min="80" max="271" width="9.140625" style="3"/>
    <col min="272" max="272" width="5.5703125" style="3" customWidth="1"/>
    <col min="273" max="273" width="29.42578125" style="3" customWidth="1"/>
    <col min="274" max="284" width="0" style="3" hidden="1" customWidth="1"/>
    <col min="285" max="285" width="14" style="3" customWidth="1"/>
    <col min="286" max="286" width="12.85546875" style="3" customWidth="1"/>
    <col min="287" max="287" width="13.85546875" style="3" customWidth="1"/>
    <col min="288" max="288" width="15" style="3" customWidth="1"/>
    <col min="289" max="289" width="12.85546875" style="3" customWidth="1"/>
    <col min="290" max="290" width="11.7109375" style="3" customWidth="1"/>
    <col min="291" max="291" width="13.85546875" style="3" customWidth="1"/>
    <col min="292" max="292" width="10.140625" style="3" customWidth="1"/>
    <col min="293" max="293" width="11.85546875" style="3" customWidth="1"/>
    <col min="294" max="294" width="10.42578125" style="3" customWidth="1"/>
    <col min="295" max="295" width="10.7109375" style="3" customWidth="1"/>
    <col min="296" max="296" width="11" style="3" customWidth="1"/>
    <col min="297" max="297" width="9.85546875" style="3" customWidth="1"/>
    <col min="298" max="298" width="12.85546875" style="3" customWidth="1"/>
    <col min="299" max="299" width="13" style="3" customWidth="1"/>
    <col min="300" max="300" width="15" style="3" customWidth="1"/>
    <col min="301" max="301" width="11.42578125" style="3" customWidth="1"/>
    <col min="302" max="302" width="12" style="3" customWidth="1"/>
    <col min="303" max="303" width="11.42578125" style="3" customWidth="1"/>
    <col min="304" max="304" width="13.28515625" style="3" customWidth="1"/>
    <col min="305" max="305" width="13.140625" style="3" customWidth="1"/>
    <col min="306" max="306" width="13" style="3" customWidth="1"/>
    <col min="307" max="307" width="14.7109375" style="3" customWidth="1"/>
    <col min="308" max="310" width="9.140625" style="3" customWidth="1"/>
    <col min="311" max="311" width="10.5703125" style="3" customWidth="1"/>
    <col min="312" max="313" width="9.42578125" style="3" customWidth="1"/>
    <col min="314" max="314" width="9.28515625" style="3" customWidth="1"/>
    <col min="315" max="315" width="9" style="3" customWidth="1"/>
    <col min="316" max="316" width="8.7109375" style="3" customWidth="1"/>
    <col min="317" max="317" width="9.42578125" style="3" customWidth="1"/>
    <col min="318" max="318" width="7.42578125" style="3" customWidth="1"/>
    <col min="319" max="319" width="8.28515625" style="3" customWidth="1"/>
    <col min="320" max="320" width="8" style="3" customWidth="1"/>
    <col min="321" max="321" width="11.42578125" style="3" customWidth="1"/>
    <col min="322" max="322" width="7.42578125" style="3" customWidth="1"/>
    <col min="323" max="323" width="12.140625" style="3" customWidth="1"/>
    <col min="324" max="324" width="9.7109375" style="3" customWidth="1"/>
    <col min="325" max="325" width="13.140625" style="3" customWidth="1"/>
    <col min="326" max="326" width="7.42578125" style="3" customWidth="1"/>
    <col min="327" max="327" width="20.7109375" style="3" customWidth="1"/>
    <col min="328" max="328" width="0.42578125" style="3" customWidth="1"/>
    <col min="329" max="329" width="13.28515625" style="3" customWidth="1"/>
    <col min="330" max="330" width="7.28515625" style="3" customWidth="1"/>
    <col min="331" max="331" width="13.140625" style="3" customWidth="1"/>
    <col min="332" max="527" width="9.140625" style="3"/>
    <col min="528" max="528" width="5.5703125" style="3" customWidth="1"/>
    <col min="529" max="529" width="29.42578125" style="3" customWidth="1"/>
    <col min="530" max="540" width="0" style="3" hidden="1" customWidth="1"/>
    <col min="541" max="541" width="14" style="3" customWidth="1"/>
    <col min="542" max="542" width="12.85546875" style="3" customWidth="1"/>
    <col min="543" max="543" width="13.85546875" style="3" customWidth="1"/>
    <col min="544" max="544" width="15" style="3" customWidth="1"/>
    <col min="545" max="545" width="12.85546875" style="3" customWidth="1"/>
    <col min="546" max="546" width="11.7109375" style="3" customWidth="1"/>
    <col min="547" max="547" width="13.85546875" style="3" customWidth="1"/>
    <col min="548" max="548" width="10.140625" style="3" customWidth="1"/>
    <col min="549" max="549" width="11.85546875" style="3" customWidth="1"/>
    <col min="550" max="550" width="10.42578125" style="3" customWidth="1"/>
    <col min="551" max="551" width="10.7109375" style="3" customWidth="1"/>
    <col min="552" max="552" width="11" style="3" customWidth="1"/>
    <col min="553" max="553" width="9.85546875" style="3" customWidth="1"/>
    <col min="554" max="554" width="12.85546875" style="3" customWidth="1"/>
    <col min="555" max="555" width="13" style="3" customWidth="1"/>
    <col min="556" max="556" width="15" style="3" customWidth="1"/>
    <col min="557" max="557" width="11.42578125" style="3" customWidth="1"/>
    <col min="558" max="558" width="12" style="3" customWidth="1"/>
    <col min="559" max="559" width="11.42578125" style="3" customWidth="1"/>
    <col min="560" max="560" width="13.28515625" style="3" customWidth="1"/>
    <col min="561" max="561" width="13.140625" style="3" customWidth="1"/>
    <col min="562" max="562" width="13" style="3" customWidth="1"/>
    <col min="563" max="563" width="14.7109375" style="3" customWidth="1"/>
    <col min="564" max="566" width="9.140625" style="3" customWidth="1"/>
    <col min="567" max="567" width="10.5703125" style="3" customWidth="1"/>
    <col min="568" max="569" width="9.42578125" style="3" customWidth="1"/>
    <col min="570" max="570" width="9.28515625" style="3" customWidth="1"/>
    <col min="571" max="571" width="9" style="3" customWidth="1"/>
    <col min="572" max="572" width="8.7109375" style="3" customWidth="1"/>
    <col min="573" max="573" width="9.42578125" style="3" customWidth="1"/>
    <col min="574" max="574" width="7.42578125" style="3" customWidth="1"/>
    <col min="575" max="575" width="8.28515625" style="3" customWidth="1"/>
    <col min="576" max="576" width="8" style="3" customWidth="1"/>
    <col min="577" max="577" width="11.42578125" style="3" customWidth="1"/>
    <col min="578" max="578" width="7.42578125" style="3" customWidth="1"/>
    <col min="579" max="579" width="12.140625" style="3" customWidth="1"/>
    <col min="580" max="580" width="9.7109375" style="3" customWidth="1"/>
    <col min="581" max="581" width="13.140625" style="3" customWidth="1"/>
    <col min="582" max="582" width="7.42578125" style="3" customWidth="1"/>
    <col min="583" max="583" width="20.7109375" style="3" customWidth="1"/>
    <col min="584" max="584" width="0.42578125" style="3" customWidth="1"/>
    <col min="585" max="585" width="13.28515625" style="3" customWidth="1"/>
    <col min="586" max="586" width="7.28515625" style="3" customWidth="1"/>
    <col min="587" max="587" width="13.140625" style="3" customWidth="1"/>
    <col min="588" max="783" width="9.140625" style="3"/>
    <col min="784" max="784" width="5.5703125" style="3" customWidth="1"/>
    <col min="785" max="785" width="29.42578125" style="3" customWidth="1"/>
    <col min="786" max="796" width="0" style="3" hidden="1" customWidth="1"/>
    <col min="797" max="797" width="14" style="3" customWidth="1"/>
    <col min="798" max="798" width="12.85546875" style="3" customWidth="1"/>
    <col min="799" max="799" width="13.85546875" style="3" customWidth="1"/>
    <col min="800" max="800" width="15" style="3" customWidth="1"/>
    <col min="801" max="801" width="12.85546875" style="3" customWidth="1"/>
    <col min="802" max="802" width="11.7109375" style="3" customWidth="1"/>
    <col min="803" max="803" width="13.85546875" style="3" customWidth="1"/>
    <col min="804" max="804" width="10.140625" style="3" customWidth="1"/>
    <col min="805" max="805" width="11.85546875" style="3" customWidth="1"/>
    <col min="806" max="806" width="10.42578125" style="3" customWidth="1"/>
    <col min="807" max="807" width="10.7109375" style="3" customWidth="1"/>
    <col min="808" max="808" width="11" style="3" customWidth="1"/>
    <col min="809" max="809" width="9.85546875" style="3" customWidth="1"/>
    <col min="810" max="810" width="12.85546875" style="3" customWidth="1"/>
    <col min="811" max="811" width="13" style="3" customWidth="1"/>
    <col min="812" max="812" width="15" style="3" customWidth="1"/>
    <col min="813" max="813" width="11.42578125" style="3" customWidth="1"/>
    <col min="814" max="814" width="12" style="3" customWidth="1"/>
    <col min="815" max="815" width="11.42578125" style="3" customWidth="1"/>
    <col min="816" max="816" width="13.28515625" style="3" customWidth="1"/>
    <col min="817" max="817" width="13.140625" style="3" customWidth="1"/>
    <col min="818" max="818" width="13" style="3" customWidth="1"/>
    <col min="819" max="819" width="14.7109375" style="3" customWidth="1"/>
    <col min="820" max="822" width="9.140625" style="3" customWidth="1"/>
    <col min="823" max="823" width="10.5703125" style="3" customWidth="1"/>
    <col min="824" max="825" width="9.42578125" style="3" customWidth="1"/>
    <col min="826" max="826" width="9.28515625" style="3" customWidth="1"/>
    <col min="827" max="827" width="9" style="3" customWidth="1"/>
    <col min="828" max="828" width="8.7109375" style="3" customWidth="1"/>
    <col min="829" max="829" width="9.42578125" style="3" customWidth="1"/>
    <col min="830" max="830" width="7.42578125" style="3" customWidth="1"/>
    <col min="831" max="831" width="8.28515625" style="3" customWidth="1"/>
    <col min="832" max="832" width="8" style="3" customWidth="1"/>
    <col min="833" max="833" width="11.42578125" style="3" customWidth="1"/>
    <col min="834" max="834" width="7.42578125" style="3" customWidth="1"/>
    <col min="835" max="835" width="12.140625" style="3" customWidth="1"/>
    <col min="836" max="836" width="9.7109375" style="3" customWidth="1"/>
    <col min="837" max="837" width="13.140625" style="3" customWidth="1"/>
    <col min="838" max="838" width="7.42578125" style="3" customWidth="1"/>
    <col min="839" max="839" width="20.7109375" style="3" customWidth="1"/>
    <col min="840" max="840" width="0.42578125" style="3" customWidth="1"/>
    <col min="841" max="841" width="13.28515625" style="3" customWidth="1"/>
    <col min="842" max="842" width="7.28515625" style="3" customWidth="1"/>
    <col min="843" max="843" width="13.140625" style="3" customWidth="1"/>
    <col min="844" max="1039" width="9.140625" style="3"/>
    <col min="1040" max="1040" width="5.5703125" style="3" customWidth="1"/>
    <col min="1041" max="1041" width="29.42578125" style="3" customWidth="1"/>
    <col min="1042" max="1052" width="0" style="3" hidden="1" customWidth="1"/>
    <col min="1053" max="1053" width="14" style="3" customWidth="1"/>
    <col min="1054" max="1054" width="12.85546875" style="3" customWidth="1"/>
    <col min="1055" max="1055" width="13.85546875" style="3" customWidth="1"/>
    <col min="1056" max="1056" width="15" style="3" customWidth="1"/>
    <col min="1057" max="1057" width="12.85546875" style="3" customWidth="1"/>
    <col min="1058" max="1058" width="11.7109375" style="3" customWidth="1"/>
    <col min="1059" max="1059" width="13.85546875" style="3" customWidth="1"/>
    <col min="1060" max="1060" width="10.140625" style="3" customWidth="1"/>
    <col min="1061" max="1061" width="11.85546875" style="3" customWidth="1"/>
    <col min="1062" max="1062" width="10.42578125" style="3" customWidth="1"/>
    <col min="1063" max="1063" width="10.7109375" style="3" customWidth="1"/>
    <col min="1064" max="1064" width="11" style="3" customWidth="1"/>
    <col min="1065" max="1065" width="9.85546875" style="3" customWidth="1"/>
    <col min="1066" max="1066" width="12.85546875" style="3" customWidth="1"/>
    <col min="1067" max="1067" width="13" style="3" customWidth="1"/>
    <col min="1068" max="1068" width="15" style="3" customWidth="1"/>
    <col min="1069" max="1069" width="11.42578125" style="3" customWidth="1"/>
    <col min="1070" max="1070" width="12" style="3" customWidth="1"/>
    <col min="1071" max="1071" width="11.42578125" style="3" customWidth="1"/>
    <col min="1072" max="1072" width="13.28515625" style="3" customWidth="1"/>
    <col min="1073" max="1073" width="13.140625" style="3" customWidth="1"/>
    <col min="1074" max="1074" width="13" style="3" customWidth="1"/>
    <col min="1075" max="1075" width="14.7109375" style="3" customWidth="1"/>
    <col min="1076" max="1078" width="9.140625" style="3" customWidth="1"/>
    <col min="1079" max="1079" width="10.5703125" style="3" customWidth="1"/>
    <col min="1080" max="1081" width="9.42578125" style="3" customWidth="1"/>
    <col min="1082" max="1082" width="9.28515625" style="3" customWidth="1"/>
    <col min="1083" max="1083" width="9" style="3" customWidth="1"/>
    <col min="1084" max="1084" width="8.7109375" style="3" customWidth="1"/>
    <col min="1085" max="1085" width="9.42578125" style="3" customWidth="1"/>
    <col min="1086" max="1086" width="7.42578125" style="3" customWidth="1"/>
    <col min="1087" max="1087" width="8.28515625" style="3" customWidth="1"/>
    <col min="1088" max="1088" width="8" style="3" customWidth="1"/>
    <col min="1089" max="1089" width="11.42578125" style="3" customWidth="1"/>
    <col min="1090" max="1090" width="7.42578125" style="3" customWidth="1"/>
    <col min="1091" max="1091" width="12.140625" style="3" customWidth="1"/>
    <col min="1092" max="1092" width="9.7109375" style="3" customWidth="1"/>
    <col min="1093" max="1093" width="13.140625" style="3" customWidth="1"/>
    <col min="1094" max="1094" width="7.42578125" style="3" customWidth="1"/>
    <col min="1095" max="1095" width="20.7109375" style="3" customWidth="1"/>
    <col min="1096" max="1096" width="0.42578125" style="3" customWidth="1"/>
    <col min="1097" max="1097" width="13.28515625" style="3" customWidth="1"/>
    <col min="1098" max="1098" width="7.28515625" style="3" customWidth="1"/>
    <col min="1099" max="1099" width="13.140625" style="3" customWidth="1"/>
    <col min="1100" max="1295" width="9.140625" style="3"/>
    <col min="1296" max="1296" width="5.5703125" style="3" customWidth="1"/>
    <col min="1297" max="1297" width="29.42578125" style="3" customWidth="1"/>
    <col min="1298" max="1308" width="0" style="3" hidden="1" customWidth="1"/>
    <col min="1309" max="1309" width="14" style="3" customWidth="1"/>
    <col min="1310" max="1310" width="12.85546875" style="3" customWidth="1"/>
    <col min="1311" max="1311" width="13.85546875" style="3" customWidth="1"/>
    <col min="1312" max="1312" width="15" style="3" customWidth="1"/>
    <col min="1313" max="1313" width="12.85546875" style="3" customWidth="1"/>
    <col min="1314" max="1314" width="11.7109375" style="3" customWidth="1"/>
    <col min="1315" max="1315" width="13.85546875" style="3" customWidth="1"/>
    <col min="1316" max="1316" width="10.140625" style="3" customWidth="1"/>
    <col min="1317" max="1317" width="11.85546875" style="3" customWidth="1"/>
    <col min="1318" max="1318" width="10.42578125" style="3" customWidth="1"/>
    <col min="1319" max="1319" width="10.7109375" style="3" customWidth="1"/>
    <col min="1320" max="1320" width="11" style="3" customWidth="1"/>
    <col min="1321" max="1321" width="9.85546875" style="3" customWidth="1"/>
    <col min="1322" max="1322" width="12.85546875" style="3" customWidth="1"/>
    <col min="1323" max="1323" width="13" style="3" customWidth="1"/>
    <col min="1324" max="1324" width="15" style="3" customWidth="1"/>
    <col min="1325" max="1325" width="11.42578125" style="3" customWidth="1"/>
    <col min="1326" max="1326" width="12" style="3" customWidth="1"/>
    <col min="1327" max="1327" width="11.42578125" style="3" customWidth="1"/>
    <col min="1328" max="1328" width="13.28515625" style="3" customWidth="1"/>
    <col min="1329" max="1329" width="13.140625" style="3" customWidth="1"/>
    <col min="1330" max="1330" width="13" style="3" customWidth="1"/>
    <col min="1331" max="1331" width="14.7109375" style="3" customWidth="1"/>
    <col min="1332" max="1334" width="9.140625" style="3" customWidth="1"/>
    <col min="1335" max="1335" width="10.5703125" style="3" customWidth="1"/>
    <col min="1336" max="1337" width="9.42578125" style="3" customWidth="1"/>
    <col min="1338" max="1338" width="9.28515625" style="3" customWidth="1"/>
    <col min="1339" max="1339" width="9" style="3" customWidth="1"/>
    <col min="1340" max="1340" width="8.7109375" style="3" customWidth="1"/>
    <col min="1341" max="1341" width="9.42578125" style="3" customWidth="1"/>
    <col min="1342" max="1342" width="7.42578125" style="3" customWidth="1"/>
    <col min="1343" max="1343" width="8.28515625" style="3" customWidth="1"/>
    <col min="1344" max="1344" width="8" style="3" customWidth="1"/>
    <col min="1345" max="1345" width="11.42578125" style="3" customWidth="1"/>
    <col min="1346" max="1346" width="7.42578125" style="3" customWidth="1"/>
    <col min="1347" max="1347" width="12.140625" style="3" customWidth="1"/>
    <col min="1348" max="1348" width="9.7109375" style="3" customWidth="1"/>
    <col min="1349" max="1349" width="13.140625" style="3" customWidth="1"/>
    <col min="1350" max="1350" width="7.42578125" style="3" customWidth="1"/>
    <col min="1351" max="1351" width="20.7109375" style="3" customWidth="1"/>
    <col min="1352" max="1352" width="0.42578125" style="3" customWidth="1"/>
    <col min="1353" max="1353" width="13.28515625" style="3" customWidth="1"/>
    <col min="1354" max="1354" width="7.28515625" style="3" customWidth="1"/>
    <col min="1355" max="1355" width="13.140625" style="3" customWidth="1"/>
    <col min="1356" max="1551" width="9.140625" style="3"/>
    <col min="1552" max="1552" width="5.5703125" style="3" customWidth="1"/>
    <col min="1553" max="1553" width="29.42578125" style="3" customWidth="1"/>
    <col min="1554" max="1564" width="0" style="3" hidden="1" customWidth="1"/>
    <col min="1565" max="1565" width="14" style="3" customWidth="1"/>
    <col min="1566" max="1566" width="12.85546875" style="3" customWidth="1"/>
    <col min="1567" max="1567" width="13.85546875" style="3" customWidth="1"/>
    <col min="1568" max="1568" width="15" style="3" customWidth="1"/>
    <col min="1569" max="1569" width="12.85546875" style="3" customWidth="1"/>
    <col min="1570" max="1570" width="11.7109375" style="3" customWidth="1"/>
    <col min="1571" max="1571" width="13.85546875" style="3" customWidth="1"/>
    <col min="1572" max="1572" width="10.140625" style="3" customWidth="1"/>
    <col min="1573" max="1573" width="11.85546875" style="3" customWidth="1"/>
    <col min="1574" max="1574" width="10.42578125" style="3" customWidth="1"/>
    <col min="1575" max="1575" width="10.7109375" style="3" customWidth="1"/>
    <col min="1576" max="1576" width="11" style="3" customWidth="1"/>
    <col min="1577" max="1577" width="9.85546875" style="3" customWidth="1"/>
    <col min="1578" max="1578" width="12.85546875" style="3" customWidth="1"/>
    <col min="1579" max="1579" width="13" style="3" customWidth="1"/>
    <col min="1580" max="1580" width="15" style="3" customWidth="1"/>
    <col min="1581" max="1581" width="11.42578125" style="3" customWidth="1"/>
    <col min="1582" max="1582" width="12" style="3" customWidth="1"/>
    <col min="1583" max="1583" width="11.42578125" style="3" customWidth="1"/>
    <col min="1584" max="1584" width="13.28515625" style="3" customWidth="1"/>
    <col min="1585" max="1585" width="13.140625" style="3" customWidth="1"/>
    <col min="1586" max="1586" width="13" style="3" customWidth="1"/>
    <col min="1587" max="1587" width="14.7109375" style="3" customWidth="1"/>
    <col min="1588" max="1590" width="9.140625" style="3" customWidth="1"/>
    <col min="1591" max="1591" width="10.5703125" style="3" customWidth="1"/>
    <col min="1592" max="1593" width="9.42578125" style="3" customWidth="1"/>
    <col min="1594" max="1594" width="9.28515625" style="3" customWidth="1"/>
    <col min="1595" max="1595" width="9" style="3" customWidth="1"/>
    <col min="1596" max="1596" width="8.7109375" style="3" customWidth="1"/>
    <col min="1597" max="1597" width="9.42578125" style="3" customWidth="1"/>
    <col min="1598" max="1598" width="7.42578125" style="3" customWidth="1"/>
    <col min="1599" max="1599" width="8.28515625" style="3" customWidth="1"/>
    <col min="1600" max="1600" width="8" style="3" customWidth="1"/>
    <col min="1601" max="1601" width="11.42578125" style="3" customWidth="1"/>
    <col min="1602" max="1602" width="7.42578125" style="3" customWidth="1"/>
    <col min="1603" max="1603" width="12.140625" style="3" customWidth="1"/>
    <col min="1604" max="1604" width="9.7109375" style="3" customWidth="1"/>
    <col min="1605" max="1605" width="13.140625" style="3" customWidth="1"/>
    <col min="1606" max="1606" width="7.42578125" style="3" customWidth="1"/>
    <col min="1607" max="1607" width="20.7109375" style="3" customWidth="1"/>
    <col min="1608" max="1608" width="0.42578125" style="3" customWidth="1"/>
    <col min="1609" max="1609" width="13.28515625" style="3" customWidth="1"/>
    <col min="1610" max="1610" width="7.28515625" style="3" customWidth="1"/>
    <col min="1611" max="1611" width="13.140625" style="3" customWidth="1"/>
    <col min="1612" max="1807" width="9.140625" style="3"/>
    <col min="1808" max="1808" width="5.5703125" style="3" customWidth="1"/>
    <col min="1809" max="1809" width="29.42578125" style="3" customWidth="1"/>
    <col min="1810" max="1820" width="0" style="3" hidden="1" customWidth="1"/>
    <col min="1821" max="1821" width="14" style="3" customWidth="1"/>
    <col min="1822" max="1822" width="12.85546875" style="3" customWidth="1"/>
    <col min="1823" max="1823" width="13.85546875" style="3" customWidth="1"/>
    <col min="1824" max="1824" width="15" style="3" customWidth="1"/>
    <col min="1825" max="1825" width="12.85546875" style="3" customWidth="1"/>
    <col min="1826" max="1826" width="11.7109375" style="3" customWidth="1"/>
    <col min="1827" max="1827" width="13.85546875" style="3" customWidth="1"/>
    <col min="1828" max="1828" width="10.140625" style="3" customWidth="1"/>
    <col min="1829" max="1829" width="11.85546875" style="3" customWidth="1"/>
    <col min="1830" max="1830" width="10.42578125" style="3" customWidth="1"/>
    <col min="1831" max="1831" width="10.7109375" style="3" customWidth="1"/>
    <col min="1832" max="1832" width="11" style="3" customWidth="1"/>
    <col min="1833" max="1833" width="9.85546875" style="3" customWidth="1"/>
    <col min="1834" max="1834" width="12.85546875" style="3" customWidth="1"/>
    <col min="1835" max="1835" width="13" style="3" customWidth="1"/>
    <col min="1836" max="1836" width="15" style="3" customWidth="1"/>
    <col min="1837" max="1837" width="11.42578125" style="3" customWidth="1"/>
    <col min="1838" max="1838" width="12" style="3" customWidth="1"/>
    <col min="1839" max="1839" width="11.42578125" style="3" customWidth="1"/>
    <col min="1840" max="1840" width="13.28515625" style="3" customWidth="1"/>
    <col min="1841" max="1841" width="13.140625" style="3" customWidth="1"/>
    <col min="1842" max="1842" width="13" style="3" customWidth="1"/>
    <col min="1843" max="1843" width="14.7109375" style="3" customWidth="1"/>
    <col min="1844" max="1846" width="9.140625" style="3" customWidth="1"/>
    <col min="1847" max="1847" width="10.5703125" style="3" customWidth="1"/>
    <col min="1848" max="1849" width="9.42578125" style="3" customWidth="1"/>
    <col min="1850" max="1850" width="9.28515625" style="3" customWidth="1"/>
    <col min="1851" max="1851" width="9" style="3" customWidth="1"/>
    <col min="1852" max="1852" width="8.7109375" style="3" customWidth="1"/>
    <col min="1853" max="1853" width="9.42578125" style="3" customWidth="1"/>
    <col min="1854" max="1854" width="7.42578125" style="3" customWidth="1"/>
    <col min="1855" max="1855" width="8.28515625" style="3" customWidth="1"/>
    <col min="1856" max="1856" width="8" style="3" customWidth="1"/>
    <col min="1857" max="1857" width="11.42578125" style="3" customWidth="1"/>
    <col min="1858" max="1858" width="7.42578125" style="3" customWidth="1"/>
    <col min="1859" max="1859" width="12.140625" style="3" customWidth="1"/>
    <col min="1860" max="1860" width="9.7109375" style="3" customWidth="1"/>
    <col min="1861" max="1861" width="13.140625" style="3" customWidth="1"/>
    <col min="1862" max="1862" width="7.42578125" style="3" customWidth="1"/>
    <col min="1863" max="1863" width="20.7109375" style="3" customWidth="1"/>
    <col min="1864" max="1864" width="0.42578125" style="3" customWidth="1"/>
    <col min="1865" max="1865" width="13.28515625" style="3" customWidth="1"/>
    <col min="1866" max="1866" width="7.28515625" style="3" customWidth="1"/>
    <col min="1867" max="1867" width="13.140625" style="3" customWidth="1"/>
    <col min="1868" max="2063" width="9.140625" style="3"/>
    <col min="2064" max="2064" width="5.5703125" style="3" customWidth="1"/>
    <col min="2065" max="2065" width="29.42578125" style="3" customWidth="1"/>
    <col min="2066" max="2076" width="0" style="3" hidden="1" customWidth="1"/>
    <col min="2077" max="2077" width="14" style="3" customWidth="1"/>
    <col min="2078" max="2078" width="12.85546875" style="3" customWidth="1"/>
    <col min="2079" max="2079" width="13.85546875" style="3" customWidth="1"/>
    <col min="2080" max="2080" width="15" style="3" customWidth="1"/>
    <col min="2081" max="2081" width="12.85546875" style="3" customWidth="1"/>
    <col min="2082" max="2082" width="11.7109375" style="3" customWidth="1"/>
    <col min="2083" max="2083" width="13.85546875" style="3" customWidth="1"/>
    <col min="2084" max="2084" width="10.140625" style="3" customWidth="1"/>
    <col min="2085" max="2085" width="11.85546875" style="3" customWidth="1"/>
    <col min="2086" max="2086" width="10.42578125" style="3" customWidth="1"/>
    <col min="2087" max="2087" width="10.7109375" style="3" customWidth="1"/>
    <col min="2088" max="2088" width="11" style="3" customWidth="1"/>
    <col min="2089" max="2089" width="9.85546875" style="3" customWidth="1"/>
    <col min="2090" max="2090" width="12.85546875" style="3" customWidth="1"/>
    <col min="2091" max="2091" width="13" style="3" customWidth="1"/>
    <col min="2092" max="2092" width="15" style="3" customWidth="1"/>
    <col min="2093" max="2093" width="11.42578125" style="3" customWidth="1"/>
    <col min="2094" max="2094" width="12" style="3" customWidth="1"/>
    <col min="2095" max="2095" width="11.42578125" style="3" customWidth="1"/>
    <col min="2096" max="2096" width="13.28515625" style="3" customWidth="1"/>
    <col min="2097" max="2097" width="13.140625" style="3" customWidth="1"/>
    <col min="2098" max="2098" width="13" style="3" customWidth="1"/>
    <col min="2099" max="2099" width="14.7109375" style="3" customWidth="1"/>
    <col min="2100" max="2102" width="9.140625" style="3" customWidth="1"/>
    <col min="2103" max="2103" width="10.5703125" style="3" customWidth="1"/>
    <col min="2104" max="2105" width="9.42578125" style="3" customWidth="1"/>
    <col min="2106" max="2106" width="9.28515625" style="3" customWidth="1"/>
    <col min="2107" max="2107" width="9" style="3" customWidth="1"/>
    <col min="2108" max="2108" width="8.7109375" style="3" customWidth="1"/>
    <col min="2109" max="2109" width="9.42578125" style="3" customWidth="1"/>
    <col min="2110" max="2110" width="7.42578125" style="3" customWidth="1"/>
    <col min="2111" max="2111" width="8.28515625" style="3" customWidth="1"/>
    <col min="2112" max="2112" width="8" style="3" customWidth="1"/>
    <col min="2113" max="2113" width="11.42578125" style="3" customWidth="1"/>
    <col min="2114" max="2114" width="7.42578125" style="3" customWidth="1"/>
    <col min="2115" max="2115" width="12.140625" style="3" customWidth="1"/>
    <col min="2116" max="2116" width="9.7109375" style="3" customWidth="1"/>
    <col min="2117" max="2117" width="13.140625" style="3" customWidth="1"/>
    <col min="2118" max="2118" width="7.42578125" style="3" customWidth="1"/>
    <col min="2119" max="2119" width="20.7109375" style="3" customWidth="1"/>
    <col min="2120" max="2120" width="0.42578125" style="3" customWidth="1"/>
    <col min="2121" max="2121" width="13.28515625" style="3" customWidth="1"/>
    <col min="2122" max="2122" width="7.28515625" style="3" customWidth="1"/>
    <col min="2123" max="2123" width="13.140625" style="3" customWidth="1"/>
    <col min="2124" max="2319" width="9.140625" style="3"/>
    <col min="2320" max="2320" width="5.5703125" style="3" customWidth="1"/>
    <col min="2321" max="2321" width="29.42578125" style="3" customWidth="1"/>
    <col min="2322" max="2332" width="0" style="3" hidden="1" customWidth="1"/>
    <col min="2333" max="2333" width="14" style="3" customWidth="1"/>
    <col min="2334" max="2334" width="12.85546875" style="3" customWidth="1"/>
    <col min="2335" max="2335" width="13.85546875" style="3" customWidth="1"/>
    <col min="2336" max="2336" width="15" style="3" customWidth="1"/>
    <col min="2337" max="2337" width="12.85546875" style="3" customWidth="1"/>
    <col min="2338" max="2338" width="11.7109375" style="3" customWidth="1"/>
    <col min="2339" max="2339" width="13.85546875" style="3" customWidth="1"/>
    <col min="2340" max="2340" width="10.140625" style="3" customWidth="1"/>
    <col min="2341" max="2341" width="11.85546875" style="3" customWidth="1"/>
    <col min="2342" max="2342" width="10.42578125" style="3" customWidth="1"/>
    <col min="2343" max="2343" width="10.7109375" style="3" customWidth="1"/>
    <col min="2344" max="2344" width="11" style="3" customWidth="1"/>
    <col min="2345" max="2345" width="9.85546875" style="3" customWidth="1"/>
    <col min="2346" max="2346" width="12.85546875" style="3" customWidth="1"/>
    <col min="2347" max="2347" width="13" style="3" customWidth="1"/>
    <col min="2348" max="2348" width="15" style="3" customWidth="1"/>
    <col min="2349" max="2349" width="11.42578125" style="3" customWidth="1"/>
    <col min="2350" max="2350" width="12" style="3" customWidth="1"/>
    <col min="2351" max="2351" width="11.42578125" style="3" customWidth="1"/>
    <col min="2352" max="2352" width="13.28515625" style="3" customWidth="1"/>
    <col min="2353" max="2353" width="13.140625" style="3" customWidth="1"/>
    <col min="2354" max="2354" width="13" style="3" customWidth="1"/>
    <col min="2355" max="2355" width="14.7109375" style="3" customWidth="1"/>
    <col min="2356" max="2358" width="9.140625" style="3" customWidth="1"/>
    <col min="2359" max="2359" width="10.5703125" style="3" customWidth="1"/>
    <col min="2360" max="2361" width="9.42578125" style="3" customWidth="1"/>
    <col min="2362" max="2362" width="9.28515625" style="3" customWidth="1"/>
    <col min="2363" max="2363" width="9" style="3" customWidth="1"/>
    <col min="2364" max="2364" width="8.7109375" style="3" customWidth="1"/>
    <col min="2365" max="2365" width="9.42578125" style="3" customWidth="1"/>
    <col min="2366" max="2366" width="7.42578125" style="3" customWidth="1"/>
    <col min="2367" max="2367" width="8.28515625" style="3" customWidth="1"/>
    <col min="2368" max="2368" width="8" style="3" customWidth="1"/>
    <col min="2369" max="2369" width="11.42578125" style="3" customWidth="1"/>
    <col min="2370" max="2370" width="7.42578125" style="3" customWidth="1"/>
    <col min="2371" max="2371" width="12.140625" style="3" customWidth="1"/>
    <col min="2372" max="2372" width="9.7109375" style="3" customWidth="1"/>
    <col min="2373" max="2373" width="13.140625" style="3" customWidth="1"/>
    <col min="2374" max="2374" width="7.42578125" style="3" customWidth="1"/>
    <col min="2375" max="2375" width="20.7109375" style="3" customWidth="1"/>
    <col min="2376" max="2376" width="0.42578125" style="3" customWidth="1"/>
    <col min="2377" max="2377" width="13.28515625" style="3" customWidth="1"/>
    <col min="2378" max="2378" width="7.28515625" style="3" customWidth="1"/>
    <col min="2379" max="2379" width="13.140625" style="3" customWidth="1"/>
    <col min="2380" max="2575" width="9.140625" style="3"/>
    <col min="2576" max="2576" width="5.5703125" style="3" customWidth="1"/>
    <col min="2577" max="2577" width="29.42578125" style="3" customWidth="1"/>
    <col min="2578" max="2588" width="0" style="3" hidden="1" customWidth="1"/>
    <col min="2589" max="2589" width="14" style="3" customWidth="1"/>
    <col min="2590" max="2590" width="12.85546875" style="3" customWidth="1"/>
    <col min="2591" max="2591" width="13.85546875" style="3" customWidth="1"/>
    <col min="2592" max="2592" width="15" style="3" customWidth="1"/>
    <col min="2593" max="2593" width="12.85546875" style="3" customWidth="1"/>
    <col min="2594" max="2594" width="11.7109375" style="3" customWidth="1"/>
    <col min="2595" max="2595" width="13.85546875" style="3" customWidth="1"/>
    <col min="2596" max="2596" width="10.140625" style="3" customWidth="1"/>
    <col min="2597" max="2597" width="11.85546875" style="3" customWidth="1"/>
    <col min="2598" max="2598" width="10.42578125" style="3" customWidth="1"/>
    <col min="2599" max="2599" width="10.7109375" style="3" customWidth="1"/>
    <col min="2600" max="2600" width="11" style="3" customWidth="1"/>
    <col min="2601" max="2601" width="9.85546875" style="3" customWidth="1"/>
    <col min="2602" max="2602" width="12.85546875" style="3" customWidth="1"/>
    <col min="2603" max="2603" width="13" style="3" customWidth="1"/>
    <col min="2604" max="2604" width="15" style="3" customWidth="1"/>
    <col min="2605" max="2605" width="11.42578125" style="3" customWidth="1"/>
    <col min="2606" max="2606" width="12" style="3" customWidth="1"/>
    <col min="2607" max="2607" width="11.42578125" style="3" customWidth="1"/>
    <col min="2608" max="2608" width="13.28515625" style="3" customWidth="1"/>
    <col min="2609" max="2609" width="13.140625" style="3" customWidth="1"/>
    <col min="2610" max="2610" width="13" style="3" customWidth="1"/>
    <col min="2611" max="2611" width="14.7109375" style="3" customWidth="1"/>
    <col min="2612" max="2614" width="9.140625" style="3" customWidth="1"/>
    <col min="2615" max="2615" width="10.5703125" style="3" customWidth="1"/>
    <col min="2616" max="2617" width="9.42578125" style="3" customWidth="1"/>
    <col min="2618" max="2618" width="9.28515625" style="3" customWidth="1"/>
    <col min="2619" max="2619" width="9" style="3" customWidth="1"/>
    <col min="2620" max="2620" width="8.7109375" style="3" customWidth="1"/>
    <col min="2621" max="2621" width="9.42578125" style="3" customWidth="1"/>
    <col min="2622" max="2622" width="7.42578125" style="3" customWidth="1"/>
    <col min="2623" max="2623" width="8.28515625" style="3" customWidth="1"/>
    <col min="2624" max="2624" width="8" style="3" customWidth="1"/>
    <col min="2625" max="2625" width="11.42578125" style="3" customWidth="1"/>
    <col min="2626" max="2626" width="7.42578125" style="3" customWidth="1"/>
    <col min="2627" max="2627" width="12.140625" style="3" customWidth="1"/>
    <col min="2628" max="2628" width="9.7109375" style="3" customWidth="1"/>
    <col min="2629" max="2629" width="13.140625" style="3" customWidth="1"/>
    <col min="2630" max="2630" width="7.42578125" style="3" customWidth="1"/>
    <col min="2631" max="2631" width="20.7109375" style="3" customWidth="1"/>
    <col min="2632" max="2632" width="0.42578125" style="3" customWidth="1"/>
    <col min="2633" max="2633" width="13.28515625" style="3" customWidth="1"/>
    <col min="2634" max="2634" width="7.28515625" style="3" customWidth="1"/>
    <col min="2635" max="2635" width="13.140625" style="3" customWidth="1"/>
    <col min="2636" max="2831" width="9.140625" style="3"/>
    <col min="2832" max="2832" width="5.5703125" style="3" customWidth="1"/>
    <col min="2833" max="2833" width="29.42578125" style="3" customWidth="1"/>
    <col min="2834" max="2844" width="0" style="3" hidden="1" customWidth="1"/>
    <col min="2845" max="2845" width="14" style="3" customWidth="1"/>
    <col min="2846" max="2846" width="12.85546875" style="3" customWidth="1"/>
    <col min="2847" max="2847" width="13.85546875" style="3" customWidth="1"/>
    <col min="2848" max="2848" width="15" style="3" customWidth="1"/>
    <col min="2849" max="2849" width="12.85546875" style="3" customWidth="1"/>
    <col min="2850" max="2850" width="11.7109375" style="3" customWidth="1"/>
    <col min="2851" max="2851" width="13.85546875" style="3" customWidth="1"/>
    <col min="2852" max="2852" width="10.140625" style="3" customWidth="1"/>
    <col min="2853" max="2853" width="11.85546875" style="3" customWidth="1"/>
    <col min="2854" max="2854" width="10.42578125" style="3" customWidth="1"/>
    <col min="2855" max="2855" width="10.7109375" style="3" customWidth="1"/>
    <col min="2856" max="2856" width="11" style="3" customWidth="1"/>
    <col min="2857" max="2857" width="9.85546875" style="3" customWidth="1"/>
    <col min="2858" max="2858" width="12.85546875" style="3" customWidth="1"/>
    <col min="2859" max="2859" width="13" style="3" customWidth="1"/>
    <col min="2860" max="2860" width="15" style="3" customWidth="1"/>
    <col min="2861" max="2861" width="11.42578125" style="3" customWidth="1"/>
    <col min="2862" max="2862" width="12" style="3" customWidth="1"/>
    <col min="2863" max="2863" width="11.42578125" style="3" customWidth="1"/>
    <col min="2864" max="2864" width="13.28515625" style="3" customWidth="1"/>
    <col min="2865" max="2865" width="13.140625" style="3" customWidth="1"/>
    <col min="2866" max="2866" width="13" style="3" customWidth="1"/>
    <col min="2867" max="2867" width="14.7109375" style="3" customWidth="1"/>
    <col min="2868" max="2870" width="9.140625" style="3" customWidth="1"/>
    <col min="2871" max="2871" width="10.5703125" style="3" customWidth="1"/>
    <col min="2872" max="2873" width="9.42578125" style="3" customWidth="1"/>
    <col min="2874" max="2874" width="9.28515625" style="3" customWidth="1"/>
    <col min="2875" max="2875" width="9" style="3" customWidth="1"/>
    <col min="2876" max="2876" width="8.7109375" style="3" customWidth="1"/>
    <col min="2877" max="2877" width="9.42578125" style="3" customWidth="1"/>
    <col min="2878" max="2878" width="7.42578125" style="3" customWidth="1"/>
    <col min="2879" max="2879" width="8.28515625" style="3" customWidth="1"/>
    <col min="2880" max="2880" width="8" style="3" customWidth="1"/>
    <col min="2881" max="2881" width="11.42578125" style="3" customWidth="1"/>
    <col min="2882" max="2882" width="7.42578125" style="3" customWidth="1"/>
    <col min="2883" max="2883" width="12.140625" style="3" customWidth="1"/>
    <col min="2884" max="2884" width="9.7109375" style="3" customWidth="1"/>
    <col min="2885" max="2885" width="13.140625" style="3" customWidth="1"/>
    <col min="2886" max="2886" width="7.42578125" style="3" customWidth="1"/>
    <col min="2887" max="2887" width="20.7109375" style="3" customWidth="1"/>
    <col min="2888" max="2888" width="0.42578125" style="3" customWidth="1"/>
    <col min="2889" max="2889" width="13.28515625" style="3" customWidth="1"/>
    <col min="2890" max="2890" width="7.28515625" style="3" customWidth="1"/>
    <col min="2891" max="2891" width="13.140625" style="3" customWidth="1"/>
    <col min="2892" max="3087" width="9.140625" style="3"/>
    <col min="3088" max="3088" width="5.5703125" style="3" customWidth="1"/>
    <col min="3089" max="3089" width="29.42578125" style="3" customWidth="1"/>
    <col min="3090" max="3100" width="0" style="3" hidden="1" customWidth="1"/>
    <col min="3101" max="3101" width="14" style="3" customWidth="1"/>
    <col min="3102" max="3102" width="12.85546875" style="3" customWidth="1"/>
    <col min="3103" max="3103" width="13.85546875" style="3" customWidth="1"/>
    <col min="3104" max="3104" width="15" style="3" customWidth="1"/>
    <col min="3105" max="3105" width="12.85546875" style="3" customWidth="1"/>
    <col min="3106" max="3106" width="11.7109375" style="3" customWidth="1"/>
    <col min="3107" max="3107" width="13.85546875" style="3" customWidth="1"/>
    <col min="3108" max="3108" width="10.140625" style="3" customWidth="1"/>
    <col min="3109" max="3109" width="11.85546875" style="3" customWidth="1"/>
    <col min="3110" max="3110" width="10.42578125" style="3" customWidth="1"/>
    <col min="3111" max="3111" width="10.7109375" style="3" customWidth="1"/>
    <col min="3112" max="3112" width="11" style="3" customWidth="1"/>
    <col min="3113" max="3113" width="9.85546875" style="3" customWidth="1"/>
    <col min="3114" max="3114" width="12.85546875" style="3" customWidth="1"/>
    <col min="3115" max="3115" width="13" style="3" customWidth="1"/>
    <col min="3116" max="3116" width="15" style="3" customWidth="1"/>
    <col min="3117" max="3117" width="11.42578125" style="3" customWidth="1"/>
    <col min="3118" max="3118" width="12" style="3" customWidth="1"/>
    <col min="3119" max="3119" width="11.42578125" style="3" customWidth="1"/>
    <col min="3120" max="3120" width="13.28515625" style="3" customWidth="1"/>
    <col min="3121" max="3121" width="13.140625" style="3" customWidth="1"/>
    <col min="3122" max="3122" width="13" style="3" customWidth="1"/>
    <col min="3123" max="3123" width="14.7109375" style="3" customWidth="1"/>
    <col min="3124" max="3126" width="9.140625" style="3" customWidth="1"/>
    <col min="3127" max="3127" width="10.5703125" style="3" customWidth="1"/>
    <col min="3128" max="3129" width="9.42578125" style="3" customWidth="1"/>
    <col min="3130" max="3130" width="9.28515625" style="3" customWidth="1"/>
    <col min="3131" max="3131" width="9" style="3" customWidth="1"/>
    <col min="3132" max="3132" width="8.7109375" style="3" customWidth="1"/>
    <col min="3133" max="3133" width="9.42578125" style="3" customWidth="1"/>
    <col min="3134" max="3134" width="7.42578125" style="3" customWidth="1"/>
    <col min="3135" max="3135" width="8.28515625" style="3" customWidth="1"/>
    <col min="3136" max="3136" width="8" style="3" customWidth="1"/>
    <col min="3137" max="3137" width="11.42578125" style="3" customWidth="1"/>
    <col min="3138" max="3138" width="7.42578125" style="3" customWidth="1"/>
    <col min="3139" max="3139" width="12.140625" style="3" customWidth="1"/>
    <col min="3140" max="3140" width="9.7109375" style="3" customWidth="1"/>
    <col min="3141" max="3141" width="13.140625" style="3" customWidth="1"/>
    <col min="3142" max="3142" width="7.42578125" style="3" customWidth="1"/>
    <col min="3143" max="3143" width="20.7109375" style="3" customWidth="1"/>
    <col min="3144" max="3144" width="0.42578125" style="3" customWidth="1"/>
    <col min="3145" max="3145" width="13.28515625" style="3" customWidth="1"/>
    <col min="3146" max="3146" width="7.28515625" style="3" customWidth="1"/>
    <col min="3147" max="3147" width="13.140625" style="3" customWidth="1"/>
    <col min="3148" max="3343" width="9.140625" style="3"/>
    <col min="3344" max="3344" width="5.5703125" style="3" customWidth="1"/>
    <col min="3345" max="3345" width="29.42578125" style="3" customWidth="1"/>
    <col min="3346" max="3356" width="0" style="3" hidden="1" customWidth="1"/>
    <col min="3357" max="3357" width="14" style="3" customWidth="1"/>
    <col min="3358" max="3358" width="12.85546875" style="3" customWidth="1"/>
    <col min="3359" max="3359" width="13.85546875" style="3" customWidth="1"/>
    <col min="3360" max="3360" width="15" style="3" customWidth="1"/>
    <col min="3361" max="3361" width="12.85546875" style="3" customWidth="1"/>
    <col min="3362" max="3362" width="11.7109375" style="3" customWidth="1"/>
    <col min="3363" max="3363" width="13.85546875" style="3" customWidth="1"/>
    <col min="3364" max="3364" width="10.140625" style="3" customWidth="1"/>
    <col min="3365" max="3365" width="11.85546875" style="3" customWidth="1"/>
    <col min="3366" max="3366" width="10.42578125" style="3" customWidth="1"/>
    <col min="3367" max="3367" width="10.7109375" style="3" customWidth="1"/>
    <col min="3368" max="3368" width="11" style="3" customWidth="1"/>
    <col min="3369" max="3369" width="9.85546875" style="3" customWidth="1"/>
    <col min="3370" max="3370" width="12.85546875" style="3" customWidth="1"/>
    <col min="3371" max="3371" width="13" style="3" customWidth="1"/>
    <col min="3372" max="3372" width="15" style="3" customWidth="1"/>
    <col min="3373" max="3373" width="11.42578125" style="3" customWidth="1"/>
    <col min="3374" max="3374" width="12" style="3" customWidth="1"/>
    <col min="3375" max="3375" width="11.42578125" style="3" customWidth="1"/>
    <col min="3376" max="3376" width="13.28515625" style="3" customWidth="1"/>
    <col min="3377" max="3377" width="13.140625" style="3" customWidth="1"/>
    <col min="3378" max="3378" width="13" style="3" customWidth="1"/>
    <col min="3379" max="3379" width="14.7109375" style="3" customWidth="1"/>
    <col min="3380" max="3382" width="9.140625" style="3" customWidth="1"/>
    <col min="3383" max="3383" width="10.5703125" style="3" customWidth="1"/>
    <col min="3384" max="3385" width="9.42578125" style="3" customWidth="1"/>
    <col min="3386" max="3386" width="9.28515625" style="3" customWidth="1"/>
    <col min="3387" max="3387" width="9" style="3" customWidth="1"/>
    <col min="3388" max="3388" width="8.7109375" style="3" customWidth="1"/>
    <col min="3389" max="3389" width="9.42578125" style="3" customWidth="1"/>
    <col min="3390" max="3390" width="7.42578125" style="3" customWidth="1"/>
    <col min="3391" max="3391" width="8.28515625" style="3" customWidth="1"/>
    <col min="3392" max="3392" width="8" style="3" customWidth="1"/>
    <col min="3393" max="3393" width="11.42578125" style="3" customWidth="1"/>
    <col min="3394" max="3394" width="7.42578125" style="3" customWidth="1"/>
    <col min="3395" max="3395" width="12.140625" style="3" customWidth="1"/>
    <col min="3396" max="3396" width="9.7109375" style="3" customWidth="1"/>
    <col min="3397" max="3397" width="13.140625" style="3" customWidth="1"/>
    <col min="3398" max="3398" width="7.42578125" style="3" customWidth="1"/>
    <col min="3399" max="3399" width="20.7109375" style="3" customWidth="1"/>
    <col min="3400" max="3400" width="0.42578125" style="3" customWidth="1"/>
    <col min="3401" max="3401" width="13.28515625" style="3" customWidth="1"/>
    <col min="3402" max="3402" width="7.28515625" style="3" customWidth="1"/>
    <col min="3403" max="3403" width="13.140625" style="3" customWidth="1"/>
    <col min="3404" max="3599" width="9.140625" style="3"/>
    <col min="3600" max="3600" width="5.5703125" style="3" customWidth="1"/>
    <col min="3601" max="3601" width="29.42578125" style="3" customWidth="1"/>
    <col min="3602" max="3612" width="0" style="3" hidden="1" customWidth="1"/>
    <col min="3613" max="3613" width="14" style="3" customWidth="1"/>
    <col min="3614" max="3614" width="12.85546875" style="3" customWidth="1"/>
    <col min="3615" max="3615" width="13.85546875" style="3" customWidth="1"/>
    <col min="3616" max="3616" width="15" style="3" customWidth="1"/>
    <col min="3617" max="3617" width="12.85546875" style="3" customWidth="1"/>
    <col min="3618" max="3618" width="11.7109375" style="3" customWidth="1"/>
    <col min="3619" max="3619" width="13.85546875" style="3" customWidth="1"/>
    <col min="3620" max="3620" width="10.140625" style="3" customWidth="1"/>
    <col min="3621" max="3621" width="11.85546875" style="3" customWidth="1"/>
    <col min="3622" max="3622" width="10.42578125" style="3" customWidth="1"/>
    <col min="3623" max="3623" width="10.7109375" style="3" customWidth="1"/>
    <col min="3624" max="3624" width="11" style="3" customWidth="1"/>
    <col min="3625" max="3625" width="9.85546875" style="3" customWidth="1"/>
    <col min="3626" max="3626" width="12.85546875" style="3" customWidth="1"/>
    <col min="3627" max="3627" width="13" style="3" customWidth="1"/>
    <col min="3628" max="3628" width="15" style="3" customWidth="1"/>
    <col min="3629" max="3629" width="11.42578125" style="3" customWidth="1"/>
    <col min="3630" max="3630" width="12" style="3" customWidth="1"/>
    <col min="3631" max="3631" width="11.42578125" style="3" customWidth="1"/>
    <col min="3632" max="3632" width="13.28515625" style="3" customWidth="1"/>
    <col min="3633" max="3633" width="13.140625" style="3" customWidth="1"/>
    <col min="3634" max="3634" width="13" style="3" customWidth="1"/>
    <col min="3635" max="3635" width="14.7109375" style="3" customWidth="1"/>
    <col min="3636" max="3638" width="9.140625" style="3" customWidth="1"/>
    <col min="3639" max="3639" width="10.5703125" style="3" customWidth="1"/>
    <col min="3640" max="3641" width="9.42578125" style="3" customWidth="1"/>
    <col min="3642" max="3642" width="9.28515625" style="3" customWidth="1"/>
    <col min="3643" max="3643" width="9" style="3" customWidth="1"/>
    <col min="3644" max="3644" width="8.7109375" style="3" customWidth="1"/>
    <col min="3645" max="3645" width="9.42578125" style="3" customWidth="1"/>
    <col min="3646" max="3646" width="7.42578125" style="3" customWidth="1"/>
    <col min="3647" max="3647" width="8.28515625" style="3" customWidth="1"/>
    <col min="3648" max="3648" width="8" style="3" customWidth="1"/>
    <col min="3649" max="3649" width="11.42578125" style="3" customWidth="1"/>
    <col min="3650" max="3650" width="7.42578125" style="3" customWidth="1"/>
    <col min="3651" max="3651" width="12.140625" style="3" customWidth="1"/>
    <col min="3652" max="3652" width="9.7109375" style="3" customWidth="1"/>
    <col min="3653" max="3653" width="13.140625" style="3" customWidth="1"/>
    <col min="3654" max="3654" width="7.42578125" style="3" customWidth="1"/>
    <col min="3655" max="3655" width="20.7109375" style="3" customWidth="1"/>
    <col min="3656" max="3656" width="0.42578125" style="3" customWidth="1"/>
    <col min="3657" max="3657" width="13.28515625" style="3" customWidth="1"/>
    <col min="3658" max="3658" width="7.28515625" style="3" customWidth="1"/>
    <col min="3659" max="3659" width="13.140625" style="3" customWidth="1"/>
    <col min="3660" max="3855" width="9.140625" style="3"/>
    <col min="3856" max="3856" width="5.5703125" style="3" customWidth="1"/>
    <col min="3857" max="3857" width="29.42578125" style="3" customWidth="1"/>
    <col min="3858" max="3868" width="0" style="3" hidden="1" customWidth="1"/>
    <col min="3869" max="3869" width="14" style="3" customWidth="1"/>
    <col min="3870" max="3870" width="12.85546875" style="3" customWidth="1"/>
    <col min="3871" max="3871" width="13.85546875" style="3" customWidth="1"/>
    <col min="3872" max="3872" width="15" style="3" customWidth="1"/>
    <col min="3873" max="3873" width="12.85546875" style="3" customWidth="1"/>
    <col min="3874" max="3874" width="11.7109375" style="3" customWidth="1"/>
    <col min="3875" max="3875" width="13.85546875" style="3" customWidth="1"/>
    <col min="3876" max="3876" width="10.140625" style="3" customWidth="1"/>
    <col min="3877" max="3877" width="11.85546875" style="3" customWidth="1"/>
    <col min="3878" max="3878" width="10.42578125" style="3" customWidth="1"/>
    <col min="3879" max="3879" width="10.7109375" style="3" customWidth="1"/>
    <col min="3880" max="3880" width="11" style="3" customWidth="1"/>
    <col min="3881" max="3881" width="9.85546875" style="3" customWidth="1"/>
    <col min="3882" max="3882" width="12.85546875" style="3" customWidth="1"/>
    <col min="3883" max="3883" width="13" style="3" customWidth="1"/>
    <col min="3884" max="3884" width="15" style="3" customWidth="1"/>
    <col min="3885" max="3885" width="11.42578125" style="3" customWidth="1"/>
    <col min="3886" max="3886" width="12" style="3" customWidth="1"/>
    <col min="3887" max="3887" width="11.42578125" style="3" customWidth="1"/>
    <col min="3888" max="3888" width="13.28515625" style="3" customWidth="1"/>
    <col min="3889" max="3889" width="13.140625" style="3" customWidth="1"/>
    <col min="3890" max="3890" width="13" style="3" customWidth="1"/>
    <col min="3891" max="3891" width="14.7109375" style="3" customWidth="1"/>
    <col min="3892" max="3894" width="9.140625" style="3" customWidth="1"/>
    <col min="3895" max="3895" width="10.5703125" style="3" customWidth="1"/>
    <col min="3896" max="3897" width="9.42578125" style="3" customWidth="1"/>
    <col min="3898" max="3898" width="9.28515625" style="3" customWidth="1"/>
    <col min="3899" max="3899" width="9" style="3" customWidth="1"/>
    <col min="3900" max="3900" width="8.7109375" style="3" customWidth="1"/>
    <col min="3901" max="3901" width="9.42578125" style="3" customWidth="1"/>
    <col min="3902" max="3902" width="7.42578125" style="3" customWidth="1"/>
    <col min="3903" max="3903" width="8.28515625" style="3" customWidth="1"/>
    <col min="3904" max="3904" width="8" style="3" customWidth="1"/>
    <col min="3905" max="3905" width="11.42578125" style="3" customWidth="1"/>
    <col min="3906" max="3906" width="7.42578125" style="3" customWidth="1"/>
    <col min="3907" max="3907" width="12.140625" style="3" customWidth="1"/>
    <col min="3908" max="3908" width="9.7109375" style="3" customWidth="1"/>
    <col min="3909" max="3909" width="13.140625" style="3" customWidth="1"/>
    <col min="3910" max="3910" width="7.42578125" style="3" customWidth="1"/>
    <col min="3911" max="3911" width="20.7109375" style="3" customWidth="1"/>
    <col min="3912" max="3912" width="0.42578125" style="3" customWidth="1"/>
    <col min="3913" max="3913" width="13.28515625" style="3" customWidth="1"/>
    <col min="3914" max="3914" width="7.28515625" style="3" customWidth="1"/>
    <col min="3915" max="3915" width="13.140625" style="3" customWidth="1"/>
    <col min="3916" max="4111" width="9.140625" style="3"/>
    <col min="4112" max="4112" width="5.5703125" style="3" customWidth="1"/>
    <col min="4113" max="4113" width="29.42578125" style="3" customWidth="1"/>
    <col min="4114" max="4124" width="0" style="3" hidden="1" customWidth="1"/>
    <col min="4125" max="4125" width="14" style="3" customWidth="1"/>
    <col min="4126" max="4126" width="12.85546875" style="3" customWidth="1"/>
    <col min="4127" max="4127" width="13.85546875" style="3" customWidth="1"/>
    <col min="4128" max="4128" width="15" style="3" customWidth="1"/>
    <col min="4129" max="4129" width="12.85546875" style="3" customWidth="1"/>
    <col min="4130" max="4130" width="11.7109375" style="3" customWidth="1"/>
    <col min="4131" max="4131" width="13.85546875" style="3" customWidth="1"/>
    <col min="4132" max="4132" width="10.140625" style="3" customWidth="1"/>
    <col min="4133" max="4133" width="11.85546875" style="3" customWidth="1"/>
    <col min="4134" max="4134" width="10.42578125" style="3" customWidth="1"/>
    <col min="4135" max="4135" width="10.7109375" style="3" customWidth="1"/>
    <col min="4136" max="4136" width="11" style="3" customWidth="1"/>
    <col min="4137" max="4137" width="9.85546875" style="3" customWidth="1"/>
    <col min="4138" max="4138" width="12.85546875" style="3" customWidth="1"/>
    <col min="4139" max="4139" width="13" style="3" customWidth="1"/>
    <col min="4140" max="4140" width="15" style="3" customWidth="1"/>
    <col min="4141" max="4141" width="11.42578125" style="3" customWidth="1"/>
    <col min="4142" max="4142" width="12" style="3" customWidth="1"/>
    <col min="4143" max="4143" width="11.42578125" style="3" customWidth="1"/>
    <col min="4144" max="4144" width="13.28515625" style="3" customWidth="1"/>
    <col min="4145" max="4145" width="13.140625" style="3" customWidth="1"/>
    <col min="4146" max="4146" width="13" style="3" customWidth="1"/>
    <col min="4147" max="4147" width="14.7109375" style="3" customWidth="1"/>
    <col min="4148" max="4150" width="9.140625" style="3" customWidth="1"/>
    <col min="4151" max="4151" width="10.5703125" style="3" customWidth="1"/>
    <col min="4152" max="4153" width="9.42578125" style="3" customWidth="1"/>
    <col min="4154" max="4154" width="9.28515625" style="3" customWidth="1"/>
    <col min="4155" max="4155" width="9" style="3" customWidth="1"/>
    <col min="4156" max="4156" width="8.7109375" style="3" customWidth="1"/>
    <col min="4157" max="4157" width="9.42578125" style="3" customWidth="1"/>
    <col min="4158" max="4158" width="7.42578125" style="3" customWidth="1"/>
    <col min="4159" max="4159" width="8.28515625" style="3" customWidth="1"/>
    <col min="4160" max="4160" width="8" style="3" customWidth="1"/>
    <col min="4161" max="4161" width="11.42578125" style="3" customWidth="1"/>
    <col min="4162" max="4162" width="7.42578125" style="3" customWidth="1"/>
    <col min="4163" max="4163" width="12.140625" style="3" customWidth="1"/>
    <col min="4164" max="4164" width="9.7109375" style="3" customWidth="1"/>
    <col min="4165" max="4165" width="13.140625" style="3" customWidth="1"/>
    <col min="4166" max="4166" width="7.42578125" style="3" customWidth="1"/>
    <col min="4167" max="4167" width="20.7109375" style="3" customWidth="1"/>
    <col min="4168" max="4168" width="0.42578125" style="3" customWidth="1"/>
    <col min="4169" max="4169" width="13.28515625" style="3" customWidth="1"/>
    <col min="4170" max="4170" width="7.28515625" style="3" customWidth="1"/>
    <col min="4171" max="4171" width="13.140625" style="3" customWidth="1"/>
    <col min="4172" max="4367" width="9.140625" style="3"/>
    <col min="4368" max="4368" width="5.5703125" style="3" customWidth="1"/>
    <col min="4369" max="4369" width="29.42578125" style="3" customWidth="1"/>
    <col min="4370" max="4380" width="0" style="3" hidden="1" customWidth="1"/>
    <col min="4381" max="4381" width="14" style="3" customWidth="1"/>
    <col min="4382" max="4382" width="12.85546875" style="3" customWidth="1"/>
    <col min="4383" max="4383" width="13.85546875" style="3" customWidth="1"/>
    <col min="4384" max="4384" width="15" style="3" customWidth="1"/>
    <col min="4385" max="4385" width="12.85546875" style="3" customWidth="1"/>
    <col min="4386" max="4386" width="11.7109375" style="3" customWidth="1"/>
    <col min="4387" max="4387" width="13.85546875" style="3" customWidth="1"/>
    <col min="4388" max="4388" width="10.140625" style="3" customWidth="1"/>
    <col min="4389" max="4389" width="11.85546875" style="3" customWidth="1"/>
    <col min="4390" max="4390" width="10.42578125" style="3" customWidth="1"/>
    <col min="4391" max="4391" width="10.7109375" style="3" customWidth="1"/>
    <col min="4392" max="4392" width="11" style="3" customWidth="1"/>
    <col min="4393" max="4393" width="9.85546875" style="3" customWidth="1"/>
    <col min="4394" max="4394" width="12.85546875" style="3" customWidth="1"/>
    <col min="4395" max="4395" width="13" style="3" customWidth="1"/>
    <col min="4396" max="4396" width="15" style="3" customWidth="1"/>
    <col min="4397" max="4397" width="11.42578125" style="3" customWidth="1"/>
    <col min="4398" max="4398" width="12" style="3" customWidth="1"/>
    <col min="4399" max="4399" width="11.42578125" style="3" customWidth="1"/>
    <col min="4400" max="4400" width="13.28515625" style="3" customWidth="1"/>
    <col min="4401" max="4401" width="13.140625" style="3" customWidth="1"/>
    <col min="4402" max="4402" width="13" style="3" customWidth="1"/>
    <col min="4403" max="4403" width="14.7109375" style="3" customWidth="1"/>
    <col min="4404" max="4406" width="9.140625" style="3" customWidth="1"/>
    <col min="4407" max="4407" width="10.5703125" style="3" customWidth="1"/>
    <col min="4408" max="4409" width="9.42578125" style="3" customWidth="1"/>
    <col min="4410" max="4410" width="9.28515625" style="3" customWidth="1"/>
    <col min="4411" max="4411" width="9" style="3" customWidth="1"/>
    <col min="4412" max="4412" width="8.7109375" style="3" customWidth="1"/>
    <col min="4413" max="4413" width="9.42578125" style="3" customWidth="1"/>
    <col min="4414" max="4414" width="7.42578125" style="3" customWidth="1"/>
    <col min="4415" max="4415" width="8.28515625" style="3" customWidth="1"/>
    <col min="4416" max="4416" width="8" style="3" customWidth="1"/>
    <col min="4417" max="4417" width="11.42578125" style="3" customWidth="1"/>
    <col min="4418" max="4418" width="7.42578125" style="3" customWidth="1"/>
    <col min="4419" max="4419" width="12.140625" style="3" customWidth="1"/>
    <col min="4420" max="4420" width="9.7109375" style="3" customWidth="1"/>
    <col min="4421" max="4421" width="13.140625" style="3" customWidth="1"/>
    <col min="4422" max="4422" width="7.42578125" style="3" customWidth="1"/>
    <col min="4423" max="4423" width="20.7109375" style="3" customWidth="1"/>
    <col min="4424" max="4424" width="0.42578125" style="3" customWidth="1"/>
    <col min="4425" max="4425" width="13.28515625" style="3" customWidth="1"/>
    <col min="4426" max="4426" width="7.28515625" style="3" customWidth="1"/>
    <col min="4427" max="4427" width="13.140625" style="3" customWidth="1"/>
    <col min="4428" max="4623" width="9.140625" style="3"/>
    <col min="4624" max="4624" width="5.5703125" style="3" customWidth="1"/>
    <col min="4625" max="4625" width="29.42578125" style="3" customWidth="1"/>
    <col min="4626" max="4636" width="0" style="3" hidden="1" customWidth="1"/>
    <col min="4637" max="4637" width="14" style="3" customWidth="1"/>
    <col min="4638" max="4638" width="12.85546875" style="3" customWidth="1"/>
    <col min="4639" max="4639" width="13.85546875" style="3" customWidth="1"/>
    <col min="4640" max="4640" width="15" style="3" customWidth="1"/>
    <col min="4641" max="4641" width="12.85546875" style="3" customWidth="1"/>
    <col min="4642" max="4642" width="11.7109375" style="3" customWidth="1"/>
    <col min="4643" max="4643" width="13.85546875" style="3" customWidth="1"/>
    <col min="4644" max="4644" width="10.140625" style="3" customWidth="1"/>
    <col min="4645" max="4645" width="11.85546875" style="3" customWidth="1"/>
    <col min="4646" max="4646" width="10.42578125" style="3" customWidth="1"/>
    <col min="4647" max="4647" width="10.7109375" style="3" customWidth="1"/>
    <col min="4648" max="4648" width="11" style="3" customWidth="1"/>
    <col min="4649" max="4649" width="9.85546875" style="3" customWidth="1"/>
    <col min="4650" max="4650" width="12.85546875" style="3" customWidth="1"/>
    <col min="4651" max="4651" width="13" style="3" customWidth="1"/>
    <col min="4652" max="4652" width="15" style="3" customWidth="1"/>
    <col min="4653" max="4653" width="11.42578125" style="3" customWidth="1"/>
    <col min="4654" max="4654" width="12" style="3" customWidth="1"/>
    <col min="4655" max="4655" width="11.42578125" style="3" customWidth="1"/>
    <col min="4656" max="4656" width="13.28515625" style="3" customWidth="1"/>
    <col min="4657" max="4657" width="13.140625" style="3" customWidth="1"/>
    <col min="4658" max="4658" width="13" style="3" customWidth="1"/>
    <col min="4659" max="4659" width="14.7109375" style="3" customWidth="1"/>
    <col min="4660" max="4662" width="9.140625" style="3" customWidth="1"/>
    <col min="4663" max="4663" width="10.5703125" style="3" customWidth="1"/>
    <col min="4664" max="4665" width="9.42578125" style="3" customWidth="1"/>
    <col min="4666" max="4666" width="9.28515625" style="3" customWidth="1"/>
    <col min="4667" max="4667" width="9" style="3" customWidth="1"/>
    <col min="4668" max="4668" width="8.7109375" style="3" customWidth="1"/>
    <col min="4669" max="4669" width="9.42578125" style="3" customWidth="1"/>
    <col min="4670" max="4670" width="7.42578125" style="3" customWidth="1"/>
    <col min="4671" max="4671" width="8.28515625" style="3" customWidth="1"/>
    <col min="4672" max="4672" width="8" style="3" customWidth="1"/>
    <col min="4673" max="4673" width="11.42578125" style="3" customWidth="1"/>
    <col min="4674" max="4674" width="7.42578125" style="3" customWidth="1"/>
    <col min="4675" max="4675" width="12.140625" style="3" customWidth="1"/>
    <col min="4676" max="4676" width="9.7109375" style="3" customWidth="1"/>
    <col min="4677" max="4677" width="13.140625" style="3" customWidth="1"/>
    <col min="4678" max="4678" width="7.42578125" style="3" customWidth="1"/>
    <col min="4679" max="4679" width="20.7109375" style="3" customWidth="1"/>
    <col min="4680" max="4680" width="0.42578125" style="3" customWidth="1"/>
    <col min="4681" max="4681" width="13.28515625" style="3" customWidth="1"/>
    <col min="4682" max="4682" width="7.28515625" style="3" customWidth="1"/>
    <col min="4683" max="4683" width="13.140625" style="3" customWidth="1"/>
    <col min="4684" max="4879" width="9.140625" style="3"/>
    <col min="4880" max="4880" width="5.5703125" style="3" customWidth="1"/>
    <col min="4881" max="4881" width="29.42578125" style="3" customWidth="1"/>
    <col min="4882" max="4892" width="0" style="3" hidden="1" customWidth="1"/>
    <col min="4893" max="4893" width="14" style="3" customWidth="1"/>
    <col min="4894" max="4894" width="12.85546875" style="3" customWidth="1"/>
    <col min="4895" max="4895" width="13.85546875" style="3" customWidth="1"/>
    <col min="4896" max="4896" width="15" style="3" customWidth="1"/>
    <col min="4897" max="4897" width="12.85546875" style="3" customWidth="1"/>
    <col min="4898" max="4898" width="11.7109375" style="3" customWidth="1"/>
    <col min="4899" max="4899" width="13.85546875" style="3" customWidth="1"/>
    <col min="4900" max="4900" width="10.140625" style="3" customWidth="1"/>
    <col min="4901" max="4901" width="11.85546875" style="3" customWidth="1"/>
    <col min="4902" max="4902" width="10.42578125" style="3" customWidth="1"/>
    <col min="4903" max="4903" width="10.7109375" style="3" customWidth="1"/>
    <col min="4904" max="4904" width="11" style="3" customWidth="1"/>
    <col min="4905" max="4905" width="9.85546875" style="3" customWidth="1"/>
    <col min="4906" max="4906" width="12.85546875" style="3" customWidth="1"/>
    <col min="4907" max="4907" width="13" style="3" customWidth="1"/>
    <col min="4908" max="4908" width="15" style="3" customWidth="1"/>
    <col min="4909" max="4909" width="11.42578125" style="3" customWidth="1"/>
    <col min="4910" max="4910" width="12" style="3" customWidth="1"/>
    <col min="4911" max="4911" width="11.42578125" style="3" customWidth="1"/>
    <col min="4912" max="4912" width="13.28515625" style="3" customWidth="1"/>
    <col min="4913" max="4913" width="13.140625" style="3" customWidth="1"/>
    <col min="4914" max="4914" width="13" style="3" customWidth="1"/>
    <col min="4915" max="4915" width="14.7109375" style="3" customWidth="1"/>
    <col min="4916" max="4918" width="9.140625" style="3" customWidth="1"/>
    <col min="4919" max="4919" width="10.5703125" style="3" customWidth="1"/>
    <col min="4920" max="4921" width="9.42578125" style="3" customWidth="1"/>
    <col min="4922" max="4922" width="9.28515625" style="3" customWidth="1"/>
    <col min="4923" max="4923" width="9" style="3" customWidth="1"/>
    <col min="4924" max="4924" width="8.7109375" style="3" customWidth="1"/>
    <col min="4925" max="4925" width="9.42578125" style="3" customWidth="1"/>
    <col min="4926" max="4926" width="7.42578125" style="3" customWidth="1"/>
    <col min="4927" max="4927" width="8.28515625" style="3" customWidth="1"/>
    <col min="4928" max="4928" width="8" style="3" customWidth="1"/>
    <col min="4929" max="4929" width="11.42578125" style="3" customWidth="1"/>
    <col min="4930" max="4930" width="7.42578125" style="3" customWidth="1"/>
    <col min="4931" max="4931" width="12.140625" style="3" customWidth="1"/>
    <col min="4932" max="4932" width="9.7109375" style="3" customWidth="1"/>
    <col min="4933" max="4933" width="13.140625" style="3" customWidth="1"/>
    <col min="4934" max="4934" width="7.42578125" style="3" customWidth="1"/>
    <col min="4935" max="4935" width="20.7109375" style="3" customWidth="1"/>
    <col min="4936" max="4936" width="0.42578125" style="3" customWidth="1"/>
    <col min="4937" max="4937" width="13.28515625" style="3" customWidth="1"/>
    <col min="4938" max="4938" width="7.28515625" style="3" customWidth="1"/>
    <col min="4939" max="4939" width="13.140625" style="3" customWidth="1"/>
    <col min="4940" max="5135" width="9.140625" style="3"/>
    <col min="5136" max="5136" width="5.5703125" style="3" customWidth="1"/>
    <col min="5137" max="5137" width="29.42578125" style="3" customWidth="1"/>
    <col min="5138" max="5148" width="0" style="3" hidden="1" customWidth="1"/>
    <col min="5149" max="5149" width="14" style="3" customWidth="1"/>
    <col min="5150" max="5150" width="12.85546875" style="3" customWidth="1"/>
    <col min="5151" max="5151" width="13.85546875" style="3" customWidth="1"/>
    <col min="5152" max="5152" width="15" style="3" customWidth="1"/>
    <col min="5153" max="5153" width="12.85546875" style="3" customWidth="1"/>
    <col min="5154" max="5154" width="11.7109375" style="3" customWidth="1"/>
    <col min="5155" max="5155" width="13.85546875" style="3" customWidth="1"/>
    <col min="5156" max="5156" width="10.140625" style="3" customWidth="1"/>
    <col min="5157" max="5157" width="11.85546875" style="3" customWidth="1"/>
    <col min="5158" max="5158" width="10.42578125" style="3" customWidth="1"/>
    <col min="5159" max="5159" width="10.7109375" style="3" customWidth="1"/>
    <col min="5160" max="5160" width="11" style="3" customWidth="1"/>
    <col min="5161" max="5161" width="9.85546875" style="3" customWidth="1"/>
    <col min="5162" max="5162" width="12.85546875" style="3" customWidth="1"/>
    <col min="5163" max="5163" width="13" style="3" customWidth="1"/>
    <col min="5164" max="5164" width="15" style="3" customWidth="1"/>
    <col min="5165" max="5165" width="11.42578125" style="3" customWidth="1"/>
    <col min="5166" max="5166" width="12" style="3" customWidth="1"/>
    <col min="5167" max="5167" width="11.42578125" style="3" customWidth="1"/>
    <col min="5168" max="5168" width="13.28515625" style="3" customWidth="1"/>
    <col min="5169" max="5169" width="13.140625" style="3" customWidth="1"/>
    <col min="5170" max="5170" width="13" style="3" customWidth="1"/>
    <col min="5171" max="5171" width="14.7109375" style="3" customWidth="1"/>
    <col min="5172" max="5174" width="9.140625" style="3" customWidth="1"/>
    <col min="5175" max="5175" width="10.5703125" style="3" customWidth="1"/>
    <col min="5176" max="5177" width="9.42578125" style="3" customWidth="1"/>
    <col min="5178" max="5178" width="9.28515625" style="3" customWidth="1"/>
    <col min="5179" max="5179" width="9" style="3" customWidth="1"/>
    <col min="5180" max="5180" width="8.7109375" style="3" customWidth="1"/>
    <col min="5181" max="5181" width="9.42578125" style="3" customWidth="1"/>
    <col min="5182" max="5182" width="7.42578125" style="3" customWidth="1"/>
    <col min="5183" max="5183" width="8.28515625" style="3" customWidth="1"/>
    <col min="5184" max="5184" width="8" style="3" customWidth="1"/>
    <col min="5185" max="5185" width="11.42578125" style="3" customWidth="1"/>
    <col min="5186" max="5186" width="7.42578125" style="3" customWidth="1"/>
    <col min="5187" max="5187" width="12.140625" style="3" customWidth="1"/>
    <col min="5188" max="5188" width="9.7109375" style="3" customWidth="1"/>
    <col min="5189" max="5189" width="13.140625" style="3" customWidth="1"/>
    <col min="5190" max="5190" width="7.42578125" style="3" customWidth="1"/>
    <col min="5191" max="5191" width="20.7109375" style="3" customWidth="1"/>
    <col min="5192" max="5192" width="0.42578125" style="3" customWidth="1"/>
    <col min="5193" max="5193" width="13.28515625" style="3" customWidth="1"/>
    <col min="5194" max="5194" width="7.28515625" style="3" customWidth="1"/>
    <col min="5195" max="5195" width="13.140625" style="3" customWidth="1"/>
    <col min="5196" max="5391" width="9.140625" style="3"/>
    <col min="5392" max="5392" width="5.5703125" style="3" customWidth="1"/>
    <col min="5393" max="5393" width="29.42578125" style="3" customWidth="1"/>
    <col min="5394" max="5404" width="0" style="3" hidden="1" customWidth="1"/>
    <col min="5405" max="5405" width="14" style="3" customWidth="1"/>
    <col min="5406" max="5406" width="12.85546875" style="3" customWidth="1"/>
    <col min="5407" max="5407" width="13.85546875" style="3" customWidth="1"/>
    <col min="5408" max="5408" width="15" style="3" customWidth="1"/>
    <col min="5409" max="5409" width="12.85546875" style="3" customWidth="1"/>
    <col min="5410" max="5410" width="11.7109375" style="3" customWidth="1"/>
    <col min="5411" max="5411" width="13.85546875" style="3" customWidth="1"/>
    <col min="5412" max="5412" width="10.140625" style="3" customWidth="1"/>
    <col min="5413" max="5413" width="11.85546875" style="3" customWidth="1"/>
    <col min="5414" max="5414" width="10.42578125" style="3" customWidth="1"/>
    <col min="5415" max="5415" width="10.7109375" style="3" customWidth="1"/>
    <col min="5416" max="5416" width="11" style="3" customWidth="1"/>
    <col min="5417" max="5417" width="9.85546875" style="3" customWidth="1"/>
    <col min="5418" max="5418" width="12.85546875" style="3" customWidth="1"/>
    <col min="5419" max="5419" width="13" style="3" customWidth="1"/>
    <col min="5420" max="5420" width="15" style="3" customWidth="1"/>
    <col min="5421" max="5421" width="11.42578125" style="3" customWidth="1"/>
    <col min="5422" max="5422" width="12" style="3" customWidth="1"/>
    <col min="5423" max="5423" width="11.42578125" style="3" customWidth="1"/>
    <col min="5424" max="5424" width="13.28515625" style="3" customWidth="1"/>
    <col min="5425" max="5425" width="13.140625" style="3" customWidth="1"/>
    <col min="5426" max="5426" width="13" style="3" customWidth="1"/>
    <col min="5427" max="5427" width="14.7109375" style="3" customWidth="1"/>
    <col min="5428" max="5430" width="9.140625" style="3" customWidth="1"/>
    <col min="5431" max="5431" width="10.5703125" style="3" customWidth="1"/>
    <col min="5432" max="5433" width="9.42578125" style="3" customWidth="1"/>
    <col min="5434" max="5434" width="9.28515625" style="3" customWidth="1"/>
    <col min="5435" max="5435" width="9" style="3" customWidth="1"/>
    <col min="5436" max="5436" width="8.7109375" style="3" customWidth="1"/>
    <col min="5437" max="5437" width="9.42578125" style="3" customWidth="1"/>
    <col min="5438" max="5438" width="7.42578125" style="3" customWidth="1"/>
    <col min="5439" max="5439" width="8.28515625" style="3" customWidth="1"/>
    <col min="5440" max="5440" width="8" style="3" customWidth="1"/>
    <col min="5441" max="5441" width="11.42578125" style="3" customWidth="1"/>
    <col min="5442" max="5442" width="7.42578125" style="3" customWidth="1"/>
    <col min="5443" max="5443" width="12.140625" style="3" customWidth="1"/>
    <col min="5444" max="5444" width="9.7109375" style="3" customWidth="1"/>
    <col min="5445" max="5445" width="13.140625" style="3" customWidth="1"/>
    <col min="5446" max="5446" width="7.42578125" style="3" customWidth="1"/>
    <col min="5447" max="5447" width="20.7109375" style="3" customWidth="1"/>
    <col min="5448" max="5448" width="0.42578125" style="3" customWidth="1"/>
    <col min="5449" max="5449" width="13.28515625" style="3" customWidth="1"/>
    <col min="5450" max="5450" width="7.28515625" style="3" customWidth="1"/>
    <col min="5451" max="5451" width="13.140625" style="3" customWidth="1"/>
    <col min="5452" max="5647" width="9.140625" style="3"/>
    <col min="5648" max="5648" width="5.5703125" style="3" customWidth="1"/>
    <col min="5649" max="5649" width="29.42578125" style="3" customWidth="1"/>
    <col min="5650" max="5660" width="0" style="3" hidden="1" customWidth="1"/>
    <col min="5661" max="5661" width="14" style="3" customWidth="1"/>
    <col min="5662" max="5662" width="12.85546875" style="3" customWidth="1"/>
    <col min="5663" max="5663" width="13.85546875" style="3" customWidth="1"/>
    <col min="5664" max="5664" width="15" style="3" customWidth="1"/>
    <col min="5665" max="5665" width="12.85546875" style="3" customWidth="1"/>
    <col min="5666" max="5666" width="11.7109375" style="3" customWidth="1"/>
    <col min="5667" max="5667" width="13.85546875" style="3" customWidth="1"/>
    <col min="5668" max="5668" width="10.140625" style="3" customWidth="1"/>
    <col min="5669" max="5669" width="11.85546875" style="3" customWidth="1"/>
    <col min="5670" max="5670" width="10.42578125" style="3" customWidth="1"/>
    <col min="5671" max="5671" width="10.7109375" style="3" customWidth="1"/>
    <col min="5672" max="5672" width="11" style="3" customWidth="1"/>
    <col min="5673" max="5673" width="9.85546875" style="3" customWidth="1"/>
    <col min="5674" max="5674" width="12.85546875" style="3" customWidth="1"/>
    <col min="5675" max="5675" width="13" style="3" customWidth="1"/>
    <col min="5676" max="5676" width="15" style="3" customWidth="1"/>
    <col min="5677" max="5677" width="11.42578125" style="3" customWidth="1"/>
    <col min="5678" max="5678" width="12" style="3" customWidth="1"/>
    <col min="5679" max="5679" width="11.42578125" style="3" customWidth="1"/>
    <col min="5680" max="5680" width="13.28515625" style="3" customWidth="1"/>
    <col min="5681" max="5681" width="13.140625" style="3" customWidth="1"/>
    <col min="5682" max="5682" width="13" style="3" customWidth="1"/>
    <col min="5683" max="5683" width="14.7109375" style="3" customWidth="1"/>
    <col min="5684" max="5686" width="9.140625" style="3" customWidth="1"/>
    <col min="5687" max="5687" width="10.5703125" style="3" customWidth="1"/>
    <col min="5688" max="5689" width="9.42578125" style="3" customWidth="1"/>
    <col min="5690" max="5690" width="9.28515625" style="3" customWidth="1"/>
    <col min="5691" max="5691" width="9" style="3" customWidth="1"/>
    <col min="5692" max="5692" width="8.7109375" style="3" customWidth="1"/>
    <col min="5693" max="5693" width="9.42578125" style="3" customWidth="1"/>
    <col min="5694" max="5694" width="7.42578125" style="3" customWidth="1"/>
    <col min="5695" max="5695" width="8.28515625" style="3" customWidth="1"/>
    <col min="5696" max="5696" width="8" style="3" customWidth="1"/>
    <col min="5697" max="5697" width="11.42578125" style="3" customWidth="1"/>
    <col min="5698" max="5698" width="7.42578125" style="3" customWidth="1"/>
    <col min="5699" max="5699" width="12.140625" style="3" customWidth="1"/>
    <col min="5700" max="5700" width="9.7109375" style="3" customWidth="1"/>
    <col min="5701" max="5701" width="13.140625" style="3" customWidth="1"/>
    <col min="5702" max="5702" width="7.42578125" style="3" customWidth="1"/>
    <col min="5703" max="5703" width="20.7109375" style="3" customWidth="1"/>
    <col min="5704" max="5704" width="0.42578125" style="3" customWidth="1"/>
    <col min="5705" max="5705" width="13.28515625" style="3" customWidth="1"/>
    <col min="5706" max="5706" width="7.28515625" style="3" customWidth="1"/>
    <col min="5707" max="5707" width="13.140625" style="3" customWidth="1"/>
    <col min="5708" max="5903" width="9.140625" style="3"/>
    <col min="5904" max="5904" width="5.5703125" style="3" customWidth="1"/>
    <col min="5905" max="5905" width="29.42578125" style="3" customWidth="1"/>
    <col min="5906" max="5916" width="0" style="3" hidden="1" customWidth="1"/>
    <col min="5917" max="5917" width="14" style="3" customWidth="1"/>
    <col min="5918" max="5918" width="12.85546875" style="3" customWidth="1"/>
    <col min="5919" max="5919" width="13.85546875" style="3" customWidth="1"/>
    <col min="5920" max="5920" width="15" style="3" customWidth="1"/>
    <col min="5921" max="5921" width="12.85546875" style="3" customWidth="1"/>
    <col min="5922" max="5922" width="11.7109375" style="3" customWidth="1"/>
    <col min="5923" max="5923" width="13.85546875" style="3" customWidth="1"/>
    <col min="5924" max="5924" width="10.140625" style="3" customWidth="1"/>
    <col min="5925" max="5925" width="11.85546875" style="3" customWidth="1"/>
    <col min="5926" max="5926" width="10.42578125" style="3" customWidth="1"/>
    <col min="5927" max="5927" width="10.7109375" style="3" customWidth="1"/>
    <col min="5928" max="5928" width="11" style="3" customWidth="1"/>
    <col min="5929" max="5929" width="9.85546875" style="3" customWidth="1"/>
    <col min="5930" max="5930" width="12.85546875" style="3" customWidth="1"/>
    <col min="5931" max="5931" width="13" style="3" customWidth="1"/>
    <col min="5932" max="5932" width="15" style="3" customWidth="1"/>
    <col min="5933" max="5933" width="11.42578125" style="3" customWidth="1"/>
    <col min="5934" max="5934" width="12" style="3" customWidth="1"/>
    <col min="5935" max="5935" width="11.42578125" style="3" customWidth="1"/>
    <col min="5936" max="5936" width="13.28515625" style="3" customWidth="1"/>
    <col min="5937" max="5937" width="13.140625" style="3" customWidth="1"/>
    <col min="5938" max="5938" width="13" style="3" customWidth="1"/>
    <col min="5939" max="5939" width="14.7109375" style="3" customWidth="1"/>
    <col min="5940" max="5942" width="9.140625" style="3" customWidth="1"/>
    <col min="5943" max="5943" width="10.5703125" style="3" customWidth="1"/>
    <col min="5944" max="5945" width="9.42578125" style="3" customWidth="1"/>
    <col min="5946" max="5946" width="9.28515625" style="3" customWidth="1"/>
    <col min="5947" max="5947" width="9" style="3" customWidth="1"/>
    <col min="5948" max="5948" width="8.7109375" style="3" customWidth="1"/>
    <col min="5949" max="5949" width="9.42578125" style="3" customWidth="1"/>
    <col min="5950" max="5950" width="7.42578125" style="3" customWidth="1"/>
    <col min="5951" max="5951" width="8.28515625" style="3" customWidth="1"/>
    <col min="5952" max="5952" width="8" style="3" customWidth="1"/>
    <col min="5953" max="5953" width="11.42578125" style="3" customWidth="1"/>
    <col min="5954" max="5954" width="7.42578125" style="3" customWidth="1"/>
    <col min="5955" max="5955" width="12.140625" style="3" customWidth="1"/>
    <col min="5956" max="5956" width="9.7109375" style="3" customWidth="1"/>
    <col min="5957" max="5957" width="13.140625" style="3" customWidth="1"/>
    <col min="5958" max="5958" width="7.42578125" style="3" customWidth="1"/>
    <col min="5959" max="5959" width="20.7109375" style="3" customWidth="1"/>
    <col min="5960" max="5960" width="0.42578125" style="3" customWidth="1"/>
    <col min="5961" max="5961" width="13.28515625" style="3" customWidth="1"/>
    <col min="5962" max="5962" width="7.28515625" style="3" customWidth="1"/>
    <col min="5963" max="5963" width="13.140625" style="3" customWidth="1"/>
    <col min="5964" max="6159" width="9.140625" style="3"/>
    <col min="6160" max="6160" width="5.5703125" style="3" customWidth="1"/>
    <col min="6161" max="6161" width="29.42578125" style="3" customWidth="1"/>
    <col min="6162" max="6172" width="0" style="3" hidden="1" customWidth="1"/>
    <col min="6173" max="6173" width="14" style="3" customWidth="1"/>
    <col min="6174" max="6174" width="12.85546875" style="3" customWidth="1"/>
    <col min="6175" max="6175" width="13.85546875" style="3" customWidth="1"/>
    <col min="6176" max="6176" width="15" style="3" customWidth="1"/>
    <col min="6177" max="6177" width="12.85546875" style="3" customWidth="1"/>
    <col min="6178" max="6178" width="11.7109375" style="3" customWidth="1"/>
    <col min="6179" max="6179" width="13.85546875" style="3" customWidth="1"/>
    <col min="6180" max="6180" width="10.140625" style="3" customWidth="1"/>
    <col min="6181" max="6181" width="11.85546875" style="3" customWidth="1"/>
    <col min="6182" max="6182" width="10.42578125" style="3" customWidth="1"/>
    <col min="6183" max="6183" width="10.7109375" style="3" customWidth="1"/>
    <col min="6184" max="6184" width="11" style="3" customWidth="1"/>
    <col min="6185" max="6185" width="9.85546875" style="3" customWidth="1"/>
    <col min="6186" max="6186" width="12.85546875" style="3" customWidth="1"/>
    <col min="6187" max="6187" width="13" style="3" customWidth="1"/>
    <col min="6188" max="6188" width="15" style="3" customWidth="1"/>
    <col min="6189" max="6189" width="11.42578125" style="3" customWidth="1"/>
    <col min="6190" max="6190" width="12" style="3" customWidth="1"/>
    <col min="6191" max="6191" width="11.42578125" style="3" customWidth="1"/>
    <col min="6192" max="6192" width="13.28515625" style="3" customWidth="1"/>
    <col min="6193" max="6193" width="13.140625" style="3" customWidth="1"/>
    <col min="6194" max="6194" width="13" style="3" customWidth="1"/>
    <col min="6195" max="6195" width="14.7109375" style="3" customWidth="1"/>
    <col min="6196" max="6198" width="9.140625" style="3" customWidth="1"/>
    <col min="6199" max="6199" width="10.5703125" style="3" customWidth="1"/>
    <col min="6200" max="6201" width="9.42578125" style="3" customWidth="1"/>
    <col min="6202" max="6202" width="9.28515625" style="3" customWidth="1"/>
    <col min="6203" max="6203" width="9" style="3" customWidth="1"/>
    <col min="6204" max="6204" width="8.7109375" style="3" customWidth="1"/>
    <col min="6205" max="6205" width="9.42578125" style="3" customWidth="1"/>
    <col min="6206" max="6206" width="7.42578125" style="3" customWidth="1"/>
    <col min="6207" max="6207" width="8.28515625" style="3" customWidth="1"/>
    <col min="6208" max="6208" width="8" style="3" customWidth="1"/>
    <col min="6209" max="6209" width="11.42578125" style="3" customWidth="1"/>
    <col min="6210" max="6210" width="7.42578125" style="3" customWidth="1"/>
    <col min="6211" max="6211" width="12.140625" style="3" customWidth="1"/>
    <col min="6212" max="6212" width="9.7109375" style="3" customWidth="1"/>
    <col min="6213" max="6213" width="13.140625" style="3" customWidth="1"/>
    <col min="6214" max="6214" width="7.42578125" style="3" customWidth="1"/>
    <col min="6215" max="6215" width="20.7109375" style="3" customWidth="1"/>
    <col min="6216" max="6216" width="0.42578125" style="3" customWidth="1"/>
    <col min="6217" max="6217" width="13.28515625" style="3" customWidth="1"/>
    <col min="6218" max="6218" width="7.28515625" style="3" customWidth="1"/>
    <col min="6219" max="6219" width="13.140625" style="3" customWidth="1"/>
    <col min="6220" max="6415" width="9.140625" style="3"/>
    <col min="6416" max="6416" width="5.5703125" style="3" customWidth="1"/>
    <col min="6417" max="6417" width="29.42578125" style="3" customWidth="1"/>
    <col min="6418" max="6428" width="0" style="3" hidden="1" customWidth="1"/>
    <col min="6429" max="6429" width="14" style="3" customWidth="1"/>
    <col min="6430" max="6430" width="12.85546875" style="3" customWidth="1"/>
    <col min="6431" max="6431" width="13.85546875" style="3" customWidth="1"/>
    <col min="6432" max="6432" width="15" style="3" customWidth="1"/>
    <col min="6433" max="6433" width="12.85546875" style="3" customWidth="1"/>
    <col min="6434" max="6434" width="11.7109375" style="3" customWidth="1"/>
    <col min="6435" max="6435" width="13.85546875" style="3" customWidth="1"/>
    <col min="6436" max="6436" width="10.140625" style="3" customWidth="1"/>
    <col min="6437" max="6437" width="11.85546875" style="3" customWidth="1"/>
    <col min="6438" max="6438" width="10.42578125" style="3" customWidth="1"/>
    <col min="6439" max="6439" width="10.7109375" style="3" customWidth="1"/>
    <col min="6440" max="6440" width="11" style="3" customWidth="1"/>
    <col min="6441" max="6441" width="9.85546875" style="3" customWidth="1"/>
    <col min="6442" max="6442" width="12.85546875" style="3" customWidth="1"/>
    <col min="6443" max="6443" width="13" style="3" customWidth="1"/>
    <col min="6444" max="6444" width="15" style="3" customWidth="1"/>
    <col min="6445" max="6445" width="11.42578125" style="3" customWidth="1"/>
    <col min="6446" max="6446" width="12" style="3" customWidth="1"/>
    <col min="6447" max="6447" width="11.42578125" style="3" customWidth="1"/>
    <col min="6448" max="6448" width="13.28515625" style="3" customWidth="1"/>
    <col min="6449" max="6449" width="13.140625" style="3" customWidth="1"/>
    <col min="6450" max="6450" width="13" style="3" customWidth="1"/>
    <col min="6451" max="6451" width="14.7109375" style="3" customWidth="1"/>
    <col min="6452" max="6454" width="9.140625" style="3" customWidth="1"/>
    <col min="6455" max="6455" width="10.5703125" style="3" customWidth="1"/>
    <col min="6456" max="6457" width="9.42578125" style="3" customWidth="1"/>
    <col min="6458" max="6458" width="9.28515625" style="3" customWidth="1"/>
    <col min="6459" max="6459" width="9" style="3" customWidth="1"/>
    <col min="6460" max="6460" width="8.7109375" style="3" customWidth="1"/>
    <col min="6461" max="6461" width="9.42578125" style="3" customWidth="1"/>
    <col min="6462" max="6462" width="7.42578125" style="3" customWidth="1"/>
    <col min="6463" max="6463" width="8.28515625" style="3" customWidth="1"/>
    <col min="6464" max="6464" width="8" style="3" customWidth="1"/>
    <col min="6465" max="6465" width="11.42578125" style="3" customWidth="1"/>
    <col min="6466" max="6466" width="7.42578125" style="3" customWidth="1"/>
    <col min="6467" max="6467" width="12.140625" style="3" customWidth="1"/>
    <col min="6468" max="6468" width="9.7109375" style="3" customWidth="1"/>
    <col min="6469" max="6469" width="13.140625" style="3" customWidth="1"/>
    <col min="6470" max="6470" width="7.42578125" style="3" customWidth="1"/>
    <col min="6471" max="6471" width="20.7109375" style="3" customWidth="1"/>
    <col min="6472" max="6472" width="0.42578125" style="3" customWidth="1"/>
    <col min="6473" max="6473" width="13.28515625" style="3" customWidth="1"/>
    <col min="6474" max="6474" width="7.28515625" style="3" customWidth="1"/>
    <col min="6475" max="6475" width="13.140625" style="3" customWidth="1"/>
    <col min="6476" max="6671" width="9.140625" style="3"/>
    <col min="6672" max="6672" width="5.5703125" style="3" customWidth="1"/>
    <col min="6673" max="6673" width="29.42578125" style="3" customWidth="1"/>
    <col min="6674" max="6684" width="0" style="3" hidden="1" customWidth="1"/>
    <col min="6685" max="6685" width="14" style="3" customWidth="1"/>
    <col min="6686" max="6686" width="12.85546875" style="3" customWidth="1"/>
    <col min="6687" max="6687" width="13.85546875" style="3" customWidth="1"/>
    <col min="6688" max="6688" width="15" style="3" customWidth="1"/>
    <col min="6689" max="6689" width="12.85546875" style="3" customWidth="1"/>
    <col min="6690" max="6690" width="11.7109375" style="3" customWidth="1"/>
    <col min="6691" max="6691" width="13.85546875" style="3" customWidth="1"/>
    <col min="6692" max="6692" width="10.140625" style="3" customWidth="1"/>
    <col min="6693" max="6693" width="11.85546875" style="3" customWidth="1"/>
    <col min="6694" max="6694" width="10.42578125" style="3" customWidth="1"/>
    <col min="6695" max="6695" width="10.7109375" style="3" customWidth="1"/>
    <col min="6696" max="6696" width="11" style="3" customWidth="1"/>
    <col min="6697" max="6697" width="9.85546875" style="3" customWidth="1"/>
    <col min="6698" max="6698" width="12.85546875" style="3" customWidth="1"/>
    <col min="6699" max="6699" width="13" style="3" customWidth="1"/>
    <col min="6700" max="6700" width="15" style="3" customWidth="1"/>
    <col min="6701" max="6701" width="11.42578125" style="3" customWidth="1"/>
    <col min="6702" max="6702" width="12" style="3" customWidth="1"/>
    <col min="6703" max="6703" width="11.42578125" style="3" customWidth="1"/>
    <col min="6704" max="6704" width="13.28515625" style="3" customWidth="1"/>
    <col min="6705" max="6705" width="13.140625" style="3" customWidth="1"/>
    <col min="6706" max="6706" width="13" style="3" customWidth="1"/>
    <col min="6707" max="6707" width="14.7109375" style="3" customWidth="1"/>
    <col min="6708" max="6710" width="9.140625" style="3" customWidth="1"/>
    <col min="6711" max="6711" width="10.5703125" style="3" customWidth="1"/>
    <col min="6712" max="6713" width="9.42578125" style="3" customWidth="1"/>
    <col min="6714" max="6714" width="9.28515625" style="3" customWidth="1"/>
    <col min="6715" max="6715" width="9" style="3" customWidth="1"/>
    <col min="6716" max="6716" width="8.7109375" style="3" customWidth="1"/>
    <col min="6717" max="6717" width="9.42578125" style="3" customWidth="1"/>
    <col min="6718" max="6718" width="7.42578125" style="3" customWidth="1"/>
    <col min="6719" max="6719" width="8.28515625" style="3" customWidth="1"/>
    <col min="6720" max="6720" width="8" style="3" customWidth="1"/>
    <col min="6721" max="6721" width="11.42578125" style="3" customWidth="1"/>
    <col min="6722" max="6722" width="7.42578125" style="3" customWidth="1"/>
    <col min="6723" max="6723" width="12.140625" style="3" customWidth="1"/>
    <col min="6724" max="6724" width="9.7109375" style="3" customWidth="1"/>
    <col min="6725" max="6725" width="13.140625" style="3" customWidth="1"/>
    <col min="6726" max="6726" width="7.42578125" style="3" customWidth="1"/>
    <col min="6727" max="6727" width="20.7109375" style="3" customWidth="1"/>
    <col min="6728" max="6728" width="0.42578125" style="3" customWidth="1"/>
    <col min="6729" max="6729" width="13.28515625" style="3" customWidth="1"/>
    <col min="6730" max="6730" width="7.28515625" style="3" customWidth="1"/>
    <col min="6731" max="6731" width="13.140625" style="3" customWidth="1"/>
    <col min="6732" max="6927" width="9.140625" style="3"/>
    <col min="6928" max="6928" width="5.5703125" style="3" customWidth="1"/>
    <col min="6929" max="6929" width="29.42578125" style="3" customWidth="1"/>
    <col min="6930" max="6940" width="0" style="3" hidden="1" customWidth="1"/>
    <col min="6941" max="6941" width="14" style="3" customWidth="1"/>
    <col min="6942" max="6942" width="12.85546875" style="3" customWidth="1"/>
    <col min="6943" max="6943" width="13.85546875" style="3" customWidth="1"/>
    <col min="6944" max="6944" width="15" style="3" customWidth="1"/>
    <col min="6945" max="6945" width="12.85546875" style="3" customWidth="1"/>
    <col min="6946" max="6946" width="11.7109375" style="3" customWidth="1"/>
    <col min="6947" max="6947" width="13.85546875" style="3" customWidth="1"/>
    <col min="6948" max="6948" width="10.140625" style="3" customWidth="1"/>
    <col min="6949" max="6949" width="11.85546875" style="3" customWidth="1"/>
    <col min="6950" max="6950" width="10.42578125" style="3" customWidth="1"/>
    <col min="6951" max="6951" width="10.7109375" style="3" customWidth="1"/>
    <col min="6952" max="6952" width="11" style="3" customWidth="1"/>
    <col min="6953" max="6953" width="9.85546875" style="3" customWidth="1"/>
    <col min="6954" max="6954" width="12.85546875" style="3" customWidth="1"/>
    <col min="6955" max="6955" width="13" style="3" customWidth="1"/>
    <col min="6956" max="6956" width="15" style="3" customWidth="1"/>
    <col min="6957" max="6957" width="11.42578125" style="3" customWidth="1"/>
    <col min="6958" max="6958" width="12" style="3" customWidth="1"/>
    <col min="6959" max="6959" width="11.42578125" style="3" customWidth="1"/>
    <col min="6960" max="6960" width="13.28515625" style="3" customWidth="1"/>
    <col min="6961" max="6961" width="13.140625" style="3" customWidth="1"/>
    <col min="6962" max="6962" width="13" style="3" customWidth="1"/>
    <col min="6963" max="6963" width="14.7109375" style="3" customWidth="1"/>
    <col min="6964" max="6966" width="9.140625" style="3" customWidth="1"/>
    <col min="6967" max="6967" width="10.5703125" style="3" customWidth="1"/>
    <col min="6968" max="6969" width="9.42578125" style="3" customWidth="1"/>
    <col min="6970" max="6970" width="9.28515625" style="3" customWidth="1"/>
    <col min="6971" max="6971" width="9" style="3" customWidth="1"/>
    <col min="6972" max="6972" width="8.7109375" style="3" customWidth="1"/>
    <col min="6973" max="6973" width="9.42578125" style="3" customWidth="1"/>
    <col min="6974" max="6974" width="7.42578125" style="3" customWidth="1"/>
    <col min="6975" max="6975" width="8.28515625" style="3" customWidth="1"/>
    <col min="6976" max="6976" width="8" style="3" customWidth="1"/>
    <col min="6977" max="6977" width="11.42578125" style="3" customWidth="1"/>
    <col min="6978" max="6978" width="7.42578125" style="3" customWidth="1"/>
    <col min="6979" max="6979" width="12.140625" style="3" customWidth="1"/>
    <col min="6980" max="6980" width="9.7109375" style="3" customWidth="1"/>
    <col min="6981" max="6981" width="13.140625" style="3" customWidth="1"/>
    <col min="6982" max="6982" width="7.42578125" style="3" customWidth="1"/>
    <col min="6983" max="6983" width="20.7109375" style="3" customWidth="1"/>
    <col min="6984" max="6984" width="0.42578125" style="3" customWidth="1"/>
    <col min="6985" max="6985" width="13.28515625" style="3" customWidth="1"/>
    <col min="6986" max="6986" width="7.28515625" style="3" customWidth="1"/>
    <col min="6987" max="6987" width="13.140625" style="3" customWidth="1"/>
    <col min="6988" max="7183" width="9.140625" style="3"/>
    <col min="7184" max="7184" width="5.5703125" style="3" customWidth="1"/>
    <col min="7185" max="7185" width="29.42578125" style="3" customWidth="1"/>
    <col min="7186" max="7196" width="0" style="3" hidden="1" customWidth="1"/>
    <col min="7197" max="7197" width="14" style="3" customWidth="1"/>
    <col min="7198" max="7198" width="12.85546875" style="3" customWidth="1"/>
    <col min="7199" max="7199" width="13.85546875" style="3" customWidth="1"/>
    <col min="7200" max="7200" width="15" style="3" customWidth="1"/>
    <col min="7201" max="7201" width="12.85546875" style="3" customWidth="1"/>
    <col min="7202" max="7202" width="11.7109375" style="3" customWidth="1"/>
    <col min="7203" max="7203" width="13.85546875" style="3" customWidth="1"/>
    <col min="7204" max="7204" width="10.140625" style="3" customWidth="1"/>
    <col min="7205" max="7205" width="11.85546875" style="3" customWidth="1"/>
    <col min="7206" max="7206" width="10.42578125" style="3" customWidth="1"/>
    <col min="7207" max="7207" width="10.7109375" style="3" customWidth="1"/>
    <col min="7208" max="7208" width="11" style="3" customWidth="1"/>
    <col min="7209" max="7209" width="9.85546875" style="3" customWidth="1"/>
    <col min="7210" max="7210" width="12.85546875" style="3" customWidth="1"/>
    <col min="7211" max="7211" width="13" style="3" customWidth="1"/>
    <col min="7212" max="7212" width="15" style="3" customWidth="1"/>
    <col min="7213" max="7213" width="11.42578125" style="3" customWidth="1"/>
    <col min="7214" max="7214" width="12" style="3" customWidth="1"/>
    <col min="7215" max="7215" width="11.42578125" style="3" customWidth="1"/>
    <col min="7216" max="7216" width="13.28515625" style="3" customWidth="1"/>
    <col min="7217" max="7217" width="13.140625" style="3" customWidth="1"/>
    <col min="7218" max="7218" width="13" style="3" customWidth="1"/>
    <col min="7219" max="7219" width="14.7109375" style="3" customWidth="1"/>
    <col min="7220" max="7222" width="9.140625" style="3" customWidth="1"/>
    <col min="7223" max="7223" width="10.5703125" style="3" customWidth="1"/>
    <col min="7224" max="7225" width="9.42578125" style="3" customWidth="1"/>
    <col min="7226" max="7226" width="9.28515625" style="3" customWidth="1"/>
    <col min="7227" max="7227" width="9" style="3" customWidth="1"/>
    <col min="7228" max="7228" width="8.7109375" style="3" customWidth="1"/>
    <col min="7229" max="7229" width="9.42578125" style="3" customWidth="1"/>
    <col min="7230" max="7230" width="7.42578125" style="3" customWidth="1"/>
    <col min="7231" max="7231" width="8.28515625" style="3" customWidth="1"/>
    <col min="7232" max="7232" width="8" style="3" customWidth="1"/>
    <col min="7233" max="7233" width="11.42578125" style="3" customWidth="1"/>
    <col min="7234" max="7234" width="7.42578125" style="3" customWidth="1"/>
    <col min="7235" max="7235" width="12.140625" style="3" customWidth="1"/>
    <col min="7236" max="7236" width="9.7109375" style="3" customWidth="1"/>
    <col min="7237" max="7237" width="13.140625" style="3" customWidth="1"/>
    <col min="7238" max="7238" width="7.42578125" style="3" customWidth="1"/>
    <col min="7239" max="7239" width="20.7109375" style="3" customWidth="1"/>
    <col min="7240" max="7240" width="0.42578125" style="3" customWidth="1"/>
    <col min="7241" max="7241" width="13.28515625" style="3" customWidth="1"/>
    <col min="7242" max="7242" width="7.28515625" style="3" customWidth="1"/>
    <col min="7243" max="7243" width="13.140625" style="3" customWidth="1"/>
    <col min="7244" max="7439" width="9.140625" style="3"/>
    <col min="7440" max="7440" width="5.5703125" style="3" customWidth="1"/>
    <col min="7441" max="7441" width="29.42578125" style="3" customWidth="1"/>
    <col min="7442" max="7452" width="0" style="3" hidden="1" customWidth="1"/>
    <col min="7453" max="7453" width="14" style="3" customWidth="1"/>
    <col min="7454" max="7454" width="12.85546875" style="3" customWidth="1"/>
    <col min="7455" max="7455" width="13.85546875" style="3" customWidth="1"/>
    <col min="7456" max="7456" width="15" style="3" customWidth="1"/>
    <col min="7457" max="7457" width="12.85546875" style="3" customWidth="1"/>
    <col min="7458" max="7458" width="11.7109375" style="3" customWidth="1"/>
    <col min="7459" max="7459" width="13.85546875" style="3" customWidth="1"/>
    <col min="7460" max="7460" width="10.140625" style="3" customWidth="1"/>
    <col min="7461" max="7461" width="11.85546875" style="3" customWidth="1"/>
    <col min="7462" max="7462" width="10.42578125" style="3" customWidth="1"/>
    <col min="7463" max="7463" width="10.7109375" style="3" customWidth="1"/>
    <col min="7464" max="7464" width="11" style="3" customWidth="1"/>
    <col min="7465" max="7465" width="9.85546875" style="3" customWidth="1"/>
    <col min="7466" max="7466" width="12.85546875" style="3" customWidth="1"/>
    <col min="7467" max="7467" width="13" style="3" customWidth="1"/>
    <col min="7468" max="7468" width="15" style="3" customWidth="1"/>
    <col min="7469" max="7469" width="11.42578125" style="3" customWidth="1"/>
    <col min="7470" max="7470" width="12" style="3" customWidth="1"/>
    <col min="7471" max="7471" width="11.42578125" style="3" customWidth="1"/>
    <col min="7472" max="7472" width="13.28515625" style="3" customWidth="1"/>
    <col min="7473" max="7473" width="13.140625" style="3" customWidth="1"/>
    <col min="7474" max="7474" width="13" style="3" customWidth="1"/>
    <col min="7475" max="7475" width="14.7109375" style="3" customWidth="1"/>
    <col min="7476" max="7478" width="9.140625" style="3" customWidth="1"/>
    <col min="7479" max="7479" width="10.5703125" style="3" customWidth="1"/>
    <col min="7480" max="7481" width="9.42578125" style="3" customWidth="1"/>
    <col min="7482" max="7482" width="9.28515625" style="3" customWidth="1"/>
    <col min="7483" max="7483" width="9" style="3" customWidth="1"/>
    <col min="7484" max="7484" width="8.7109375" style="3" customWidth="1"/>
    <col min="7485" max="7485" width="9.42578125" style="3" customWidth="1"/>
    <col min="7486" max="7486" width="7.42578125" style="3" customWidth="1"/>
    <col min="7487" max="7487" width="8.28515625" style="3" customWidth="1"/>
    <col min="7488" max="7488" width="8" style="3" customWidth="1"/>
    <col min="7489" max="7489" width="11.42578125" style="3" customWidth="1"/>
    <col min="7490" max="7490" width="7.42578125" style="3" customWidth="1"/>
    <col min="7491" max="7491" width="12.140625" style="3" customWidth="1"/>
    <col min="7492" max="7492" width="9.7109375" style="3" customWidth="1"/>
    <col min="7493" max="7493" width="13.140625" style="3" customWidth="1"/>
    <col min="7494" max="7494" width="7.42578125" style="3" customWidth="1"/>
    <col min="7495" max="7495" width="20.7109375" style="3" customWidth="1"/>
    <col min="7496" max="7496" width="0.42578125" style="3" customWidth="1"/>
    <col min="7497" max="7497" width="13.28515625" style="3" customWidth="1"/>
    <col min="7498" max="7498" width="7.28515625" style="3" customWidth="1"/>
    <col min="7499" max="7499" width="13.140625" style="3" customWidth="1"/>
    <col min="7500" max="7695" width="9.140625" style="3"/>
    <col min="7696" max="7696" width="5.5703125" style="3" customWidth="1"/>
    <col min="7697" max="7697" width="29.42578125" style="3" customWidth="1"/>
    <col min="7698" max="7708" width="0" style="3" hidden="1" customWidth="1"/>
    <col min="7709" max="7709" width="14" style="3" customWidth="1"/>
    <col min="7710" max="7710" width="12.85546875" style="3" customWidth="1"/>
    <col min="7711" max="7711" width="13.85546875" style="3" customWidth="1"/>
    <col min="7712" max="7712" width="15" style="3" customWidth="1"/>
    <col min="7713" max="7713" width="12.85546875" style="3" customWidth="1"/>
    <col min="7714" max="7714" width="11.7109375" style="3" customWidth="1"/>
    <col min="7715" max="7715" width="13.85546875" style="3" customWidth="1"/>
    <col min="7716" max="7716" width="10.140625" style="3" customWidth="1"/>
    <col min="7717" max="7717" width="11.85546875" style="3" customWidth="1"/>
    <col min="7718" max="7718" width="10.42578125" style="3" customWidth="1"/>
    <col min="7719" max="7719" width="10.7109375" style="3" customWidth="1"/>
    <col min="7720" max="7720" width="11" style="3" customWidth="1"/>
    <col min="7721" max="7721" width="9.85546875" style="3" customWidth="1"/>
    <col min="7722" max="7722" width="12.85546875" style="3" customWidth="1"/>
    <col min="7723" max="7723" width="13" style="3" customWidth="1"/>
    <col min="7724" max="7724" width="15" style="3" customWidth="1"/>
    <col min="7725" max="7725" width="11.42578125" style="3" customWidth="1"/>
    <col min="7726" max="7726" width="12" style="3" customWidth="1"/>
    <col min="7727" max="7727" width="11.42578125" style="3" customWidth="1"/>
    <col min="7728" max="7728" width="13.28515625" style="3" customWidth="1"/>
    <col min="7729" max="7729" width="13.140625" style="3" customWidth="1"/>
    <col min="7730" max="7730" width="13" style="3" customWidth="1"/>
    <col min="7731" max="7731" width="14.7109375" style="3" customWidth="1"/>
    <col min="7732" max="7734" width="9.140625" style="3" customWidth="1"/>
    <col min="7735" max="7735" width="10.5703125" style="3" customWidth="1"/>
    <col min="7736" max="7737" width="9.42578125" style="3" customWidth="1"/>
    <col min="7738" max="7738" width="9.28515625" style="3" customWidth="1"/>
    <col min="7739" max="7739" width="9" style="3" customWidth="1"/>
    <col min="7740" max="7740" width="8.7109375" style="3" customWidth="1"/>
    <col min="7741" max="7741" width="9.42578125" style="3" customWidth="1"/>
    <col min="7742" max="7742" width="7.42578125" style="3" customWidth="1"/>
    <col min="7743" max="7743" width="8.28515625" style="3" customWidth="1"/>
    <col min="7744" max="7744" width="8" style="3" customWidth="1"/>
    <col min="7745" max="7745" width="11.42578125" style="3" customWidth="1"/>
    <col min="7746" max="7746" width="7.42578125" style="3" customWidth="1"/>
    <col min="7747" max="7747" width="12.140625" style="3" customWidth="1"/>
    <col min="7748" max="7748" width="9.7109375" style="3" customWidth="1"/>
    <col min="7749" max="7749" width="13.140625" style="3" customWidth="1"/>
    <col min="7750" max="7750" width="7.42578125" style="3" customWidth="1"/>
    <col min="7751" max="7751" width="20.7109375" style="3" customWidth="1"/>
    <col min="7752" max="7752" width="0.42578125" style="3" customWidth="1"/>
    <col min="7753" max="7753" width="13.28515625" style="3" customWidth="1"/>
    <col min="7754" max="7754" width="7.28515625" style="3" customWidth="1"/>
    <col min="7755" max="7755" width="13.140625" style="3" customWidth="1"/>
    <col min="7756" max="7951" width="9.140625" style="3"/>
    <col min="7952" max="7952" width="5.5703125" style="3" customWidth="1"/>
    <col min="7953" max="7953" width="29.42578125" style="3" customWidth="1"/>
    <col min="7954" max="7964" width="0" style="3" hidden="1" customWidth="1"/>
    <col min="7965" max="7965" width="14" style="3" customWidth="1"/>
    <col min="7966" max="7966" width="12.85546875" style="3" customWidth="1"/>
    <col min="7967" max="7967" width="13.85546875" style="3" customWidth="1"/>
    <col min="7968" max="7968" width="15" style="3" customWidth="1"/>
    <col min="7969" max="7969" width="12.85546875" style="3" customWidth="1"/>
    <col min="7970" max="7970" width="11.7109375" style="3" customWidth="1"/>
    <col min="7971" max="7971" width="13.85546875" style="3" customWidth="1"/>
    <col min="7972" max="7972" width="10.140625" style="3" customWidth="1"/>
    <col min="7973" max="7973" width="11.85546875" style="3" customWidth="1"/>
    <col min="7974" max="7974" width="10.42578125" style="3" customWidth="1"/>
    <col min="7975" max="7975" width="10.7109375" style="3" customWidth="1"/>
    <col min="7976" max="7976" width="11" style="3" customWidth="1"/>
    <col min="7977" max="7977" width="9.85546875" style="3" customWidth="1"/>
    <col min="7978" max="7978" width="12.85546875" style="3" customWidth="1"/>
    <col min="7979" max="7979" width="13" style="3" customWidth="1"/>
    <col min="7980" max="7980" width="15" style="3" customWidth="1"/>
    <col min="7981" max="7981" width="11.42578125" style="3" customWidth="1"/>
    <col min="7982" max="7982" width="12" style="3" customWidth="1"/>
    <col min="7983" max="7983" width="11.42578125" style="3" customWidth="1"/>
    <col min="7984" max="7984" width="13.28515625" style="3" customWidth="1"/>
    <col min="7985" max="7985" width="13.140625" style="3" customWidth="1"/>
    <col min="7986" max="7986" width="13" style="3" customWidth="1"/>
    <col min="7987" max="7987" width="14.7109375" style="3" customWidth="1"/>
    <col min="7988" max="7990" width="9.140625" style="3" customWidth="1"/>
    <col min="7991" max="7991" width="10.5703125" style="3" customWidth="1"/>
    <col min="7992" max="7993" width="9.42578125" style="3" customWidth="1"/>
    <col min="7994" max="7994" width="9.28515625" style="3" customWidth="1"/>
    <col min="7995" max="7995" width="9" style="3" customWidth="1"/>
    <col min="7996" max="7996" width="8.7109375" style="3" customWidth="1"/>
    <col min="7997" max="7997" width="9.42578125" style="3" customWidth="1"/>
    <col min="7998" max="7998" width="7.42578125" style="3" customWidth="1"/>
    <col min="7999" max="7999" width="8.28515625" style="3" customWidth="1"/>
    <col min="8000" max="8000" width="8" style="3" customWidth="1"/>
    <col min="8001" max="8001" width="11.42578125" style="3" customWidth="1"/>
    <col min="8002" max="8002" width="7.42578125" style="3" customWidth="1"/>
    <col min="8003" max="8003" width="12.140625" style="3" customWidth="1"/>
    <col min="8004" max="8004" width="9.7109375" style="3" customWidth="1"/>
    <col min="8005" max="8005" width="13.140625" style="3" customWidth="1"/>
    <col min="8006" max="8006" width="7.42578125" style="3" customWidth="1"/>
    <col min="8007" max="8007" width="20.7109375" style="3" customWidth="1"/>
    <col min="8008" max="8008" width="0.42578125" style="3" customWidth="1"/>
    <col min="8009" max="8009" width="13.28515625" style="3" customWidth="1"/>
    <col min="8010" max="8010" width="7.28515625" style="3" customWidth="1"/>
    <col min="8011" max="8011" width="13.140625" style="3" customWidth="1"/>
    <col min="8012" max="8207" width="9.140625" style="3"/>
    <col min="8208" max="8208" width="5.5703125" style="3" customWidth="1"/>
    <col min="8209" max="8209" width="29.42578125" style="3" customWidth="1"/>
    <col min="8210" max="8220" width="0" style="3" hidden="1" customWidth="1"/>
    <col min="8221" max="8221" width="14" style="3" customWidth="1"/>
    <col min="8222" max="8222" width="12.85546875" style="3" customWidth="1"/>
    <col min="8223" max="8223" width="13.85546875" style="3" customWidth="1"/>
    <col min="8224" max="8224" width="15" style="3" customWidth="1"/>
    <col min="8225" max="8225" width="12.85546875" style="3" customWidth="1"/>
    <col min="8226" max="8226" width="11.7109375" style="3" customWidth="1"/>
    <col min="8227" max="8227" width="13.85546875" style="3" customWidth="1"/>
    <col min="8228" max="8228" width="10.140625" style="3" customWidth="1"/>
    <col min="8229" max="8229" width="11.85546875" style="3" customWidth="1"/>
    <col min="8230" max="8230" width="10.42578125" style="3" customWidth="1"/>
    <col min="8231" max="8231" width="10.7109375" style="3" customWidth="1"/>
    <col min="8232" max="8232" width="11" style="3" customWidth="1"/>
    <col min="8233" max="8233" width="9.85546875" style="3" customWidth="1"/>
    <col min="8234" max="8234" width="12.85546875" style="3" customWidth="1"/>
    <col min="8235" max="8235" width="13" style="3" customWidth="1"/>
    <col min="8236" max="8236" width="15" style="3" customWidth="1"/>
    <col min="8237" max="8237" width="11.42578125" style="3" customWidth="1"/>
    <col min="8238" max="8238" width="12" style="3" customWidth="1"/>
    <col min="8239" max="8239" width="11.42578125" style="3" customWidth="1"/>
    <col min="8240" max="8240" width="13.28515625" style="3" customWidth="1"/>
    <col min="8241" max="8241" width="13.140625" style="3" customWidth="1"/>
    <col min="8242" max="8242" width="13" style="3" customWidth="1"/>
    <col min="8243" max="8243" width="14.7109375" style="3" customWidth="1"/>
    <col min="8244" max="8246" width="9.140625" style="3" customWidth="1"/>
    <col min="8247" max="8247" width="10.5703125" style="3" customWidth="1"/>
    <col min="8248" max="8249" width="9.42578125" style="3" customWidth="1"/>
    <col min="8250" max="8250" width="9.28515625" style="3" customWidth="1"/>
    <col min="8251" max="8251" width="9" style="3" customWidth="1"/>
    <col min="8252" max="8252" width="8.7109375" style="3" customWidth="1"/>
    <col min="8253" max="8253" width="9.42578125" style="3" customWidth="1"/>
    <col min="8254" max="8254" width="7.42578125" style="3" customWidth="1"/>
    <col min="8255" max="8255" width="8.28515625" style="3" customWidth="1"/>
    <col min="8256" max="8256" width="8" style="3" customWidth="1"/>
    <col min="8257" max="8257" width="11.42578125" style="3" customWidth="1"/>
    <col min="8258" max="8258" width="7.42578125" style="3" customWidth="1"/>
    <col min="8259" max="8259" width="12.140625" style="3" customWidth="1"/>
    <col min="8260" max="8260" width="9.7109375" style="3" customWidth="1"/>
    <col min="8261" max="8261" width="13.140625" style="3" customWidth="1"/>
    <col min="8262" max="8262" width="7.42578125" style="3" customWidth="1"/>
    <col min="8263" max="8263" width="20.7109375" style="3" customWidth="1"/>
    <col min="8264" max="8264" width="0.42578125" style="3" customWidth="1"/>
    <col min="8265" max="8265" width="13.28515625" style="3" customWidth="1"/>
    <col min="8266" max="8266" width="7.28515625" style="3" customWidth="1"/>
    <col min="8267" max="8267" width="13.140625" style="3" customWidth="1"/>
    <col min="8268" max="8463" width="9.140625" style="3"/>
    <col min="8464" max="8464" width="5.5703125" style="3" customWidth="1"/>
    <col min="8465" max="8465" width="29.42578125" style="3" customWidth="1"/>
    <col min="8466" max="8476" width="0" style="3" hidden="1" customWidth="1"/>
    <col min="8477" max="8477" width="14" style="3" customWidth="1"/>
    <col min="8478" max="8478" width="12.85546875" style="3" customWidth="1"/>
    <col min="8479" max="8479" width="13.85546875" style="3" customWidth="1"/>
    <col min="8480" max="8480" width="15" style="3" customWidth="1"/>
    <col min="8481" max="8481" width="12.85546875" style="3" customWidth="1"/>
    <col min="8482" max="8482" width="11.7109375" style="3" customWidth="1"/>
    <col min="8483" max="8483" width="13.85546875" style="3" customWidth="1"/>
    <col min="8484" max="8484" width="10.140625" style="3" customWidth="1"/>
    <col min="8485" max="8485" width="11.85546875" style="3" customWidth="1"/>
    <col min="8486" max="8486" width="10.42578125" style="3" customWidth="1"/>
    <col min="8487" max="8487" width="10.7109375" style="3" customWidth="1"/>
    <col min="8488" max="8488" width="11" style="3" customWidth="1"/>
    <col min="8489" max="8489" width="9.85546875" style="3" customWidth="1"/>
    <col min="8490" max="8490" width="12.85546875" style="3" customWidth="1"/>
    <col min="8491" max="8491" width="13" style="3" customWidth="1"/>
    <col min="8492" max="8492" width="15" style="3" customWidth="1"/>
    <col min="8493" max="8493" width="11.42578125" style="3" customWidth="1"/>
    <col min="8494" max="8494" width="12" style="3" customWidth="1"/>
    <col min="8495" max="8495" width="11.42578125" style="3" customWidth="1"/>
    <col min="8496" max="8496" width="13.28515625" style="3" customWidth="1"/>
    <col min="8497" max="8497" width="13.140625" style="3" customWidth="1"/>
    <col min="8498" max="8498" width="13" style="3" customWidth="1"/>
    <col min="8499" max="8499" width="14.7109375" style="3" customWidth="1"/>
    <col min="8500" max="8502" width="9.140625" style="3" customWidth="1"/>
    <col min="8503" max="8503" width="10.5703125" style="3" customWidth="1"/>
    <col min="8504" max="8505" width="9.42578125" style="3" customWidth="1"/>
    <col min="8506" max="8506" width="9.28515625" style="3" customWidth="1"/>
    <col min="8507" max="8507" width="9" style="3" customWidth="1"/>
    <col min="8508" max="8508" width="8.7109375" style="3" customWidth="1"/>
    <col min="8509" max="8509" width="9.42578125" style="3" customWidth="1"/>
    <col min="8510" max="8510" width="7.42578125" style="3" customWidth="1"/>
    <col min="8511" max="8511" width="8.28515625" style="3" customWidth="1"/>
    <col min="8512" max="8512" width="8" style="3" customWidth="1"/>
    <col min="8513" max="8513" width="11.42578125" style="3" customWidth="1"/>
    <col min="8514" max="8514" width="7.42578125" style="3" customWidth="1"/>
    <col min="8515" max="8515" width="12.140625" style="3" customWidth="1"/>
    <col min="8516" max="8516" width="9.7109375" style="3" customWidth="1"/>
    <col min="8517" max="8517" width="13.140625" style="3" customWidth="1"/>
    <col min="8518" max="8518" width="7.42578125" style="3" customWidth="1"/>
    <col min="8519" max="8519" width="20.7109375" style="3" customWidth="1"/>
    <col min="8520" max="8520" width="0.42578125" style="3" customWidth="1"/>
    <col min="8521" max="8521" width="13.28515625" style="3" customWidth="1"/>
    <col min="8522" max="8522" width="7.28515625" style="3" customWidth="1"/>
    <col min="8523" max="8523" width="13.140625" style="3" customWidth="1"/>
    <col min="8524" max="8719" width="9.140625" style="3"/>
    <col min="8720" max="8720" width="5.5703125" style="3" customWidth="1"/>
    <col min="8721" max="8721" width="29.42578125" style="3" customWidth="1"/>
    <col min="8722" max="8732" width="0" style="3" hidden="1" customWidth="1"/>
    <col min="8733" max="8733" width="14" style="3" customWidth="1"/>
    <col min="8734" max="8734" width="12.85546875" style="3" customWidth="1"/>
    <col min="8735" max="8735" width="13.85546875" style="3" customWidth="1"/>
    <col min="8736" max="8736" width="15" style="3" customWidth="1"/>
    <col min="8737" max="8737" width="12.85546875" style="3" customWidth="1"/>
    <col min="8738" max="8738" width="11.7109375" style="3" customWidth="1"/>
    <col min="8739" max="8739" width="13.85546875" style="3" customWidth="1"/>
    <col min="8740" max="8740" width="10.140625" style="3" customWidth="1"/>
    <col min="8741" max="8741" width="11.85546875" style="3" customWidth="1"/>
    <col min="8742" max="8742" width="10.42578125" style="3" customWidth="1"/>
    <col min="8743" max="8743" width="10.7109375" style="3" customWidth="1"/>
    <col min="8744" max="8744" width="11" style="3" customWidth="1"/>
    <col min="8745" max="8745" width="9.85546875" style="3" customWidth="1"/>
    <col min="8746" max="8746" width="12.85546875" style="3" customWidth="1"/>
    <col min="8747" max="8747" width="13" style="3" customWidth="1"/>
    <col min="8748" max="8748" width="15" style="3" customWidth="1"/>
    <col min="8749" max="8749" width="11.42578125" style="3" customWidth="1"/>
    <col min="8750" max="8750" width="12" style="3" customWidth="1"/>
    <col min="8751" max="8751" width="11.42578125" style="3" customWidth="1"/>
    <col min="8752" max="8752" width="13.28515625" style="3" customWidth="1"/>
    <col min="8753" max="8753" width="13.140625" style="3" customWidth="1"/>
    <col min="8754" max="8754" width="13" style="3" customWidth="1"/>
    <col min="8755" max="8755" width="14.7109375" style="3" customWidth="1"/>
    <col min="8756" max="8758" width="9.140625" style="3" customWidth="1"/>
    <col min="8759" max="8759" width="10.5703125" style="3" customWidth="1"/>
    <col min="8760" max="8761" width="9.42578125" style="3" customWidth="1"/>
    <col min="8762" max="8762" width="9.28515625" style="3" customWidth="1"/>
    <col min="8763" max="8763" width="9" style="3" customWidth="1"/>
    <col min="8764" max="8764" width="8.7109375" style="3" customWidth="1"/>
    <col min="8765" max="8765" width="9.42578125" style="3" customWidth="1"/>
    <col min="8766" max="8766" width="7.42578125" style="3" customWidth="1"/>
    <col min="8767" max="8767" width="8.28515625" style="3" customWidth="1"/>
    <col min="8768" max="8768" width="8" style="3" customWidth="1"/>
    <col min="8769" max="8769" width="11.42578125" style="3" customWidth="1"/>
    <col min="8770" max="8770" width="7.42578125" style="3" customWidth="1"/>
    <col min="8771" max="8771" width="12.140625" style="3" customWidth="1"/>
    <col min="8772" max="8772" width="9.7109375" style="3" customWidth="1"/>
    <col min="8773" max="8773" width="13.140625" style="3" customWidth="1"/>
    <col min="8774" max="8774" width="7.42578125" style="3" customWidth="1"/>
    <col min="8775" max="8775" width="20.7109375" style="3" customWidth="1"/>
    <col min="8776" max="8776" width="0.42578125" style="3" customWidth="1"/>
    <col min="8777" max="8777" width="13.28515625" style="3" customWidth="1"/>
    <col min="8778" max="8778" width="7.28515625" style="3" customWidth="1"/>
    <col min="8779" max="8779" width="13.140625" style="3" customWidth="1"/>
    <col min="8780" max="8975" width="9.140625" style="3"/>
    <col min="8976" max="8976" width="5.5703125" style="3" customWidth="1"/>
    <col min="8977" max="8977" width="29.42578125" style="3" customWidth="1"/>
    <col min="8978" max="8988" width="0" style="3" hidden="1" customWidth="1"/>
    <col min="8989" max="8989" width="14" style="3" customWidth="1"/>
    <col min="8990" max="8990" width="12.85546875" style="3" customWidth="1"/>
    <col min="8991" max="8991" width="13.85546875" style="3" customWidth="1"/>
    <col min="8992" max="8992" width="15" style="3" customWidth="1"/>
    <col min="8993" max="8993" width="12.85546875" style="3" customWidth="1"/>
    <col min="8994" max="8994" width="11.7109375" style="3" customWidth="1"/>
    <col min="8995" max="8995" width="13.85546875" style="3" customWidth="1"/>
    <col min="8996" max="8996" width="10.140625" style="3" customWidth="1"/>
    <col min="8997" max="8997" width="11.85546875" style="3" customWidth="1"/>
    <col min="8998" max="8998" width="10.42578125" style="3" customWidth="1"/>
    <col min="8999" max="8999" width="10.7109375" style="3" customWidth="1"/>
    <col min="9000" max="9000" width="11" style="3" customWidth="1"/>
    <col min="9001" max="9001" width="9.85546875" style="3" customWidth="1"/>
    <col min="9002" max="9002" width="12.85546875" style="3" customWidth="1"/>
    <col min="9003" max="9003" width="13" style="3" customWidth="1"/>
    <col min="9004" max="9004" width="15" style="3" customWidth="1"/>
    <col min="9005" max="9005" width="11.42578125" style="3" customWidth="1"/>
    <col min="9006" max="9006" width="12" style="3" customWidth="1"/>
    <col min="9007" max="9007" width="11.42578125" style="3" customWidth="1"/>
    <col min="9008" max="9008" width="13.28515625" style="3" customWidth="1"/>
    <col min="9009" max="9009" width="13.140625" style="3" customWidth="1"/>
    <col min="9010" max="9010" width="13" style="3" customWidth="1"/>
    <col min="9011" max="9011" width="14.7109375" style="3" customWidth="1"/>
    <col min="9012" max="9014" width="9.140625" style="3" customWidth="1"/>
    <col min="9015" max="9015" width="10.5703125" style="3" customWidth="1"/>
    <col min="9016" max="9017" width="9.42578125" style="3" customWidth="1"/>
    <col min="9018" max="9018" width="9.28515625" style="3" customWidth="1"/>
    <col min="9019" max="9019" width="9" style="3" customWidth="1"/>
    <col min="9020" max="9020" width="8.7109375" style="3" customWidth="1"/>
    <col min="9021" max="9021" width="9.42578125" style="3" customWidth="1"/>
    <col min="9022" max="9022" width="7.42578125" style="3" customWidth="1"/>
    <col min="9023" max="9023" width="8.28515625" style="3" customWidth="1"/>
    <col min="9024" max="9024" width="8" style="3" customWidth="1"/>
    <col min="9025" max="9025" width="11.42578125" style="3" customWidth="1"/>
    <col min="9026" max="9026" width="7.42578125" style="3" customWidth="1"/>
    <col min="9027" max="9027" width="12.140625" style="3" customWidth="1"/>
    <col min="9028" max="9028" width="9.7109375" style="3" customWidth="1"/>
    <col min="9029" max="9029" width="13.140625" style="3" customWidth="1"/>
    <col min="9030" max="9030" width="7.42578125" style="3" customWidth="1"/>
    <col min="9031" max="9031" width="20.7109375" style="3" customWidth="1"/>
    <col min="9032" max="9032" width="0.42578125" style="3" customWidth="1"/>
    <col min="9033" max="9033" width="13.28515625" style="3" customWidth="1"/>
    <col min="9034" max="9034" width="7.28515625" style="3" customWidth="1"/>
    <col min="9035" max="9035" width="13.140625" style="3" customWidth="1"/>
    <col min="9036" max="9231" width="9.140625" style="3"/>
    <col min="9232" max="9232" width="5.5703125" style="3" customWidth="1"/>
    <col min="9233" max="9233" width="29.42578125" style="3" customWidth="1"/>
    <col min="9234" max="9244" width="0" style="3" hidden="1" customWidth="1"/>
    <col min="9245" max="9245" width="14" style="3" customWidth="1"/>
    <col min="9246" max="9246" width="12.85546875" style="3" customWidth="1"/>
    <col min="9247" max="9247" width="13.85546875" style="3" customWidth="1"/>
    <col min="9248" max="9248" width="15" style="3" customWidth="1"/>
    <col min="9249" max="9249" width="12.85546875" style="3" customWidth="1"/>
    <col min="9250" max="9250" width="11.7109375" style="3" customWidth="1"/>
    <col min="9251" max="9251" width="13.85546875" style="3" customWidth="1"/>
    <col min="9252" max="9252" width="10.140625" style="3" customWidth="1"/>
    <col min="9253" max="9253" width="11.85546875" style="3" customWidth="1"/>
    <col min="9254" max="9254" width="10.42578125" style="3" customWidth="1"/>
    <col min="9255" max="9255" width="10.7109375" style="3" customWidth="1"/>
    <col min="9256" max="9256" width="11" style="3" customWidth="1"/>
    <col min="9257" max="9257" width="9.85546875" style="3" customWidth="1"/>
    <col min="9258" max="9258" width="12.85546875" style="3" customWidth="1"/>
    <col min="9259" max="9259" width="13" style="3" customWidth="1"/>
    <col min="9260" max="9260" width="15" style="3" customWidth="1"/>
    <col min="9261" max="9261" width="11.42578125" style="3" customWidth="1"/>
    <col min="9262" max="9262" width="12" style="3" customWidth="1"/>
    <col min="9263" max="9263" width="11.42578125" style="3" customWidth="1"/>
    <col min="9264" max="9264" width="13.28515625" style="3" customWidth="1"/>
    <col min="9265" max="9265" width="13.140625" style="3" customWidth="1"/>
    <col min="9266" max="9266" width="13" style="3" customWidth="1"/>
    <col min="9267" max="9267" width="14.7109375" style="3" customWidth="1"/>
    <col min="9268" max="9270" width="9.140625" style="3" customWidth="1"/>
    <col min="9271" max="9271" width="10.5703125" style="3" customWidth="1"/>
    <col min="9272" max="9273" width="9.42578125" style="3" customWidth="1"/>
    <col min="9274" max="9274" width="9.28515625" style="3" customWidth="1"/>
    <col min="9275" max="9275" width="9" style="3" customWidth="1"/>
    <col min="9276" max="9276" width="8.7109375" style="3" customWidth="1"/>
    <col min="9277" max="9277" width="9.42578125" style="3" customWidth="1"/>
    <col min="9278" max="9278" width="7.42578125" style="3" customWidth="1"/>
    <col min="9279" max="9279" width="8.28515625" style="3" customWidth="1"/>
    <col min="9280" max="9280" width="8" style="3" customWidth="1"/>
    <col min="9281" max="9281" width="11.42578125" style="3" customWidth="1"/>
    <col min="9282" max="9282" width="7.42578125" style="3" customWidth="1"/>
    <col min="9283" max="9283" width="12.140625" style="3" customWidth="1"/>
    <col min="9284" max="9284" width="9.7109375" style="3" customWidth="1"/>
    <col min="9285" max="9285" width="13.140625" style="3" customWidth="1"/>
    <col min="9286" max="9286" width="7.42578125" style="3" customWidth="1"/>
    <col min="9287" max="9287" width="20.7109375" style="3" customWidth="1"/>
    <col min="9288" max="9288" width="0.42578125" style="3" customWidth="1"/>
    <col min="9289" max="9289" width="13.28515625" style="3" customWidth="1"/>
    <col min="9290" max="9290" width="7.28515625" style="3" customWidth="1"/>
    <col min="9291" max="9291" width="13.140625" style="3" customWidth="1"/>
    <col min="9292" max="9487" width="9.140625" style="3"/>
    <col min="9488" max="9488" width="5.5703125" style="3" customWidth="1"/>
    <col min="9489" max="9489" width="29.42578125" style="3" customWidth="1"/>
    <col min="9490" max="9500" width="0" style="3" hidden="1" customWidth="1"/>
    <col min="9501" max="9501" width="14" style="3" customWidth="1"/>
    <col min="9502" max="9502" width="12.85546875" style="3" customWidth="1"/>
    <col min="9503" max="9503" width="13.85546875" style="3" customWidth="1"/>
    <col min="9504" max="9504" width="15" style="3" customWidth="1"/>
    <col min="9505" max="9505" width="12.85546875" style="3" customWidth="1"/>
    <col min="9506" max="9506" width="11.7109375" style="3" customWidth="1"/>
    <col min="9507" max="9507" width="13.85546875" style="3" customWidth="1"/>
    <col min="9508" max="9508" width="10.140625" style="3" customWidth="1"/>
    <col min="9509" max="9509" width="11.85546875" style="3" customWidth="1"/>
    <col min="9510" max="9510" width="10.42578125" style="3" customWidth="1"/>
    <col min="9511" max="9511" width="10.7109375" style="3" customWidth="1"/>
    <col min="9512" max="9512" width="11" style="3" customWidth="1"/>
    <col min="9513" max="9513" width="9.85546875" style="3" customWidth="1"/>
    <col min="9514" max="9514" width="12.85546875" style="3" customWidth="1"/>
    <col min="9515" max="9515" width="13" style="3" customWidth="1"/>
    <col min="9516" max="9516" width="15" style="3" customWidth="1"/>
    <col min="9517" max="9517" width="11.42578125" style="3" customWidth="1"/>
    <col min="9518" max="9518" width="12" style="3" customWidth="1"/>
    <col min="9519" max="9519" width="11.42578125" style="3" customWidth="1"/>
    <col min="9520" max="9520" width="13.28515625" style="3" customWidth="1"/>
    <col min="9521" max="9521" width="13.140625" style="3" customWidth="1"/>
    <col min="9522" max="9522" width="13" style="3" customWidth="1"/>
    <col min="9523" max="9523" width="14.7109375" style="3" customWidth="1"/>
    <col min="9524" max="9526" width="9.140625" style="3" customWidth="1"/>
    <col min="9527" max="9527" width="10.5703125" style="3" customWidth="1"/>
    <col min="9528" max="9529" width="9.42578125" style="3" customWidth="1"/>
    <col min="9530" max="9530" width="9.28515625" style="3" customWidth="1"/>
    <col min="9531" max="9531" width="9" style="3" customWidth="1"/>
    <col min="9532" max="9532" width="8.7109375" style="3" customWidth="1"/>
    <col min="9533" max="9533" width="9.42578125" style="3" customWidth="1"/>
    <col min="9534" max="9534" width="7.42578125" style="3" customWidth="1"/>
    <col min="9535" max="9535" width="8.28515625" style="3" customWidth="1"/>
    <col min="9536" max="9536" width="8" style="3" customWidth="1"/>
    <col min="9537" max="9537" width="11.42578125" style="3" customWidth="1"/>
    <col min="9538" max="9538" width="7.42578125" style="3" customWidth="1"/>
    <col min="9539" max="9539" width="12.140625" style="3" customWidth="1"/>
    <col min="9540" max="9540" width="9.7109375" style="3" customWidth="1"/>
    <col min="9541" max="9541" width="13.140625" style="3" customWidth="1"/>
    <col min="9542" max="9542" width="7.42578125" style="3" customWidth="1"/>
    <col min="9543" max="9543" width="20.7109375" style="3" customWidth="1"/>
    <col min="9544" max="9544" width="0.42578125" style="3" customWidth="1"/>
    <col min="9545" max="9545" width="13.28515625" style="3" customWidth="1"/>
    <col min="9546" max="9546" width="7.28515625" style="3" customWidth="1"/>
    <col min="9547" max="9547" width="13.140625" style="3" customWidth="1"/>
    <col min="9548" max="9743" width="9.140625" style="3"/>
    <col min="9744" max="9744" width="5.5703125" style="3" customWidth="1"/>
    <col min="9745" max="9745" width="29.42578125" style="3" customWidth="1"/>
    <col min="9746" max="9756" width="0" style="3" hidden="1" customWidth="1"/>
    <col min="9757" max="9757" width="14" style="3" customWidth="1"/>
    <col min="9758" max="9758" width="12.85546875" style="3" customWidth="1"/>
    <col min="9759" max="9759" width="13.85546875" style="3" customWidth="1"/>
    <col min="9760" max="9760" width="15" style="3" customWidth="1"/>
    <col min="9761" max="9761" width="12.85546875" style="3" customWidth="1"/>
    <col min="9762" max="9762" width="11.7109375" style="3" customWidth="1"/>
    <col min="9763" max="9763" width="13.85546875" style="3" customWidth="1"/>
    <col min="9764" max="9764" width="10.140625" style="3" customWidth="1"/>
    <col min="9765" max="9765" width="11.85546875" style="3" customWidth="1"/>
    <col min="9766" max="9766" width="10.42578125" style="3" customWidth="1"/>
    <col min="9767" max="9767" width="10.7109375" style="3" customWidth="1"/>
    <col min="9768" max="9768" width="11" style="3" customWidth="1"/>
    <col min="9769" max="9769" width="9.85546875" style="3" customWidth="1"/>
    <col min="9770" max="9770" width="12.85546875" style="3" customWidth="1"/>
    <col min="9771" max="9771" width="13" style="3" customWidth="1"/>
    <col min="9772" max="9772" width="15" style="3" customWidth="1"/>
    <col min="9773" max="9773" width="11.42578125" style="3" customWidth="1"/>
    <col min="9774" max="9774" width="12" style="3" customWidth="1"/>
    <col min="9775" max="9775" width="11.42578125" style="3" customWidth="1"/>
    <col min="9776" max="9776" width="13.28515625" style="3" customWidth="1"/>
    <col min="9777" max="9777" width="13.140625" style="3" customWidth="1"/>
    <col min="9778" max="9778" width="13" style="3" customWidth="1"/>
    <col min="9779" max="9779" width="14.7109375" style="3" customWidth="1"/>
    <col min="9780" max="9782" width="9.140625" style="3" customWidth="1"/>
    <col min="9783" max="9783" width="10.5703125" style="3" customWidth="1"/>
    <col min="9784" max="9785" width="9.42578125" style="3" customWidth="1"/>
    <col min="9786" max="9786" width="9.28515625" style="3" customWidth="1"/>
    <col min="9787" max="9787" width="9" style="3" customWidth="1"/>
    <col min="9788" max="9788" width="8.7109375" style="3" customWidth="1"/>
    <col min="9789" max="9789" width="9.42578125" style="3" customWidth="1"/>
    <col min="9790" max="9790" width="7.42578125" style="3" customWidth="1"/>
    <col min="9791" max="9791" width="8.28515625" style="3" customWidth="1"/>
    <col min="9792" max="9792" width="8" style="3" customWidth="1"/>
    <col min="9793" max="9793" width="11.42578125" style="3" customWidth="1"/>
    <col min="9794" max="9794" width="7.42578125" style="3" customWidth="1"/>
    <col min="9795" max="9795" width="12.140625" style="3" customWidth="1"/>
    <col min="9796" max="9796" width="9.7109375" style="3" customWidth="1"/>
    <col min="9797" max="9797" width="13.140625" style="3" customWidth="1"/>
    <col min="9798" max="9798" width="7.42578125" style="3" customWidth="1"/>
    <col min="9799" max="9799" width="20.7109375" style="3" customWidth="1"/>
    <col min="9800" max="9800" width="0.42578125" style="3" customWidth="1"/>
    <col min="9801" max="9801" width="13.28515625" style="3" customWidth="1"/>
    <col min="9802" max="9802" width="7.28515625" style="3" customWidth="1"/>
    <col min="9803" max="9803" width="13.140625" style="3" customWidth="1"/>
    <col min="9804" max="9999" width="9.140625" style="3"/>
    <col min="10000" max="10000" width="5.5703125" style="3" customWidth="1"/>
    <col min="10001" max="10001" width="29.42578125" style="3" customWidth="1"/>
    <col min="10002" max="10012" width="0" style="3" hidden="1" customWidth="1"/>
    <col min="10013" max="10013" width="14" style="3" customWidth="1"/>
    <col min="10014" max="10014" width="12.85546875" style="3" customWidth="1"/>
    <col min="10015" max="10015" width="13.85546875" style="3" customWidth="1"/>
    <col min="10016" max="10016" width="15" style="3" customWidth="1"/>
    <col min="10017" max="10017" width="12.85546875" style="3" customWidth="1"/>
    <col min="10018" max="10018" width="11.7109375" style="3" customWidth="1"/>
    <col min="10019" max="10019" width="13.85546875" style="3" customWidth="1"/>
    <col min="10020" max="10020" width="10.140625" style="3" customWidth="1"/>
    <col min="10021" max="10021" width="11.85546875" style="3" customWidth="1"/>
    <col min="10022" max="10022" width="10.42578125" style="3" customWidth="1"/>
    <col min="10023" max="10023" width="10.7109375" style="3" customWidth="1"/>
    <col min="10024" max="10024" width="11" style="3" customWidth="1"/>
    <col min="10025" max="10025" width="9.85546875" style="3" customWidth="1"/>
    <col min="10026" max="10026" width="12.85546875" style="3" customWidth="1"/>
    <col min="10027" max="10027" width="13" style="3" customWidth="1"/>
    <col min="10028" max="10028" width="15" style="3" customWidth="1"/>
    <col min="10029" max="10029" width="11.42578125" style="3" customWidth="1"/>
    <col min="10030" max="10030" width="12" style="3" customWidth="1"/>
    <col min="10031" max="10031" width="11.42578125" style="3" customWidth="1"/>
    <col min="10032" max="10032" width="13.28515625" style="3" customWidth="1"/>
    <col min="10033" max="10033" width="13.140625" style="3" customWidth="1"/>
    <col min="10034" max="10034" width="13" style="3" customWidth="1"/>
    <col min="10035" max="10035" width="14.7109375" style="3" customWidth="1"/>
    <col min="10036" max="10038" width="9.140625" style="3" customWidth="1"/>
    <col min="10039" max="10039" width="10.5703125" style="3" customWidth="1"/>
    <col min="10040" max="10041" width="9.42578125" style="3" customWidth="1"/>
    <col min="10042" max="10042" width="9.28515625" style="3" customWidth="1"/>
    <col min="10043" max="10043" width="9" style="3" customWidth="1"/>
    <col min="10044" max="10044" width="8.7109375" style="3" customWidth="1"/>
    <col min="10045" max="10045" width="9.42578125" style="3" customWidth="1"/>
    <col min="10046" max="10046" width="7.42578125" style="3" customWidth="1"/>
    <col min="10047" max="10047" width="8.28515625" style="3" customWidth="1"/>
    <col min="10048" max="10048" width="8" style="3" customWidth="1"/>
    <col min="10049" max="10049" width="11.42578125" style="3" customWidth="1"/>
    <col min="10050" max="10050" width="7.42578125" style="3" customWidth="1"/>
    <col min="10051" max="10051" width="12.140625" style="3" customWidth="1"/>
    <col min="10052" max="10052" width="9.7109375" style="3" customWidth="1"/>
    <col min="10053" max="10053" width="13.140625" style="3" customWidth="1"/>
    <col min="10054" max="10054" width="7.42578125" style="3" customWidth="1"/>
    <col min="10055" max="10055" width="20.7109375" style="3" customWidth="1"/>
    <col min="10056" max="10056" width="0.42578125" style="3" customWidth="1"/>
    <col min="10057" max="10057" width="13.28515625" style="3" customWidth="1"/>
    <col min="10058" max="10058" width="7.28515625" style="3" customWidth="1"/>
    <col min="10059" max="10059" width="13.140625" style="3" customWidth="1"/>
    <col min="10060" max="10255" width="9.140625" style="3"/>
    <col min="10256" max="10256" width="5.5703125" style="3" customWidth="1"/>
    <col min="10257" max="10257" width="29.42578125" style="3" customWidth="1"/>
    <col min="10258" max="10268" width="0" style="3" hidden="1" customWidth="1"/>
    <col min="10269" max="10269" width="14" style="3" customWidth="1"/>
    <col min="10270" max="10270" width="12.85546875" style="3" customWidth="1"/>
    <col min="10271" max="10271" width="13.85546875" style="3" customWidth="1"/>
    <col min="10272" max="10272" width="15" style="3" customWidth="1"/>
    <col min="10273" max="10273" width="12.85546875" style="3" customWidth="1"/>
    <col min="10274" max="10274" width="11.7109375" style="3" customWidth="1"/>
    <col min="10275" max="10275" width="13.85546875" style="3" customWidth="1"/>
    <col min="10276" max="10276" width="10.140625" style="3" customWidth="1"/>
    <col min="10277" max="10277" width="11.85546875" style="3" customWidth="1"/>
    <col min="10278" max="10278" width="10.42578125" style="3" customWidth="1"/>
    <col min="10279" max="10279" width="10.7109375" style="3" customWidth="1"/>
    <col min="10280" max="10280" width="11" style="3" customWidth="1"/>
    <col min="10281" max="10281" width="9.85546875" style="3" customWidth="1"/>
    <col min="10282" max="10282" width="12.85546875" style="3" customWidth="1"/>
    <col min="10283" max="10283" width="13" style="3" customWidth="1"/>
    <col min="10284" max="10284" width="15" style="3" customWidth="1"/>
    <col min="10285" max="10285" width="11.42578125" style="3" customWidth="1"/>
    <col min="10286" max="10286" width="12" style="3" customWidth="1"/>
    <col min="10287" max="10287" width="11.42578125" style="3" customWidth="1"/>
    <col min="10288" max="10288" width="13.28515625" style="3" customWidth="1"/>
    <col min="10289" max="10289" width="13.140625" style="3" customWidth="1"/>
    <col min="10290" max="10290" width="13" style="3" customWidth="1"/>
    <col min="10291" max="10291" width="14.7109375" style="3" customWidth="1"/>
    <col min="10292" max="10294" width="9.140625" style="3" customWidth="1"/>
    <col min="10295" max="10295" width="10.5703125" style="3" customWidth="1"/>
    <col min="10296" max="10297" width="9.42578125" style="3" customWidth="1"/>
    <col min="10298" max="10298" width="9.28515625" style="3" customWidth="1"/>
    <col min="10299" max="10299" width="9" style="3" customWidth="1"/>
    <col min="10300" max="10300" width="8.7109375" style="3" customWidth="1"/>
    <col min="10301" max="10301" width="9.42578125" style="3" customWidth="1"/>
    <col min="10302" max="10302" width="7.42578125" style="3" customWidth="1"/>
    <col min="10303" max="10303" width="8.28515625" style="3" customWidth="1"/>
    <col min="10304" max="10304" width="8" style="3" customWidth="1"/>
    <col min="10305" max="10305" width="11.42578125" style="3" customWidth="1"/>
    <col min="10306" max="10306" width="7.42578125" style="3" customWidth="1"/>
    <col min="10307" max="10307" width="12.140625" style="3" customWidth="1"/>
    <col min="10308" max="10308" width="9.7109375" style="3" customWidth="1"/>
    <col min="10309" max="10309" width="13.140625" style="3" customWidth="1"/>
    <col min="10310" max="10310" width="7.42578125" style="3" customWidth="1"/>
    <col min="10311" max="10311" width="20.7109375" style="3" customWidth="1"/>
    <col min="10312" max="10312" width="0.42578125" style="3" customWidth="1"/>
    <col min="10313" max="10313" width="13.28515625" style="3" customWidth="1"/>
    <col min="10314" max="10314" width="7.28515625" style="3" customWidth="1"/>
    <col min="10315" max="10315" width="13.140625" style="3" customWidth="1"/>
    <col min="10316" max="10511" width="9.140625" style="3"/>
    <col min="10512" max="10512" width="5.5703125" style="3" customWidth="1"/>
    <col min="10513" max="10513" width="29.42578125" style="3" customWidth="1"/>
    <col min="10514" max="10524" width="0" style="3" hidden="1" customWidth="1"/>
    <col min="10525" max="10525" width="14" style="3" customWidth="1"/>
    <col min="10526" max="10526" width="12.85546875" style="3" customWidth="1"/>
    <col min="10527" max="10527" width="13.85546875" style="3" customWidth="1"/>
    <col min="10528" max="10528" width="15" style="3" customWidth="1"/>
    <col min="10529" max="10529" width="12.85546875" style="3" customWidth="1"/>
    <col min="10530" max="10530" width="11.7109375" style="3" customWidth="1"/>
    <col min="10531" max="10531" width="13.85546875" style="3" customWidth="1"/>
    <col min="10532" max="10532" width="10.140625" style="3" customWidth="1"/>
    <col min="10533" max="10533" width="11.85546875" style="3" customWidth="1"/>
    <col min="10534" max="10534" width="10.42578125" style="3" customWidth="1"/>
    <col min="10535" max="10535" width="10.7109375" style="3" customWidth="1"/>
    <col min="10536" max="10536" width="11" style="3" customWidth="1"/>
    <col min="10537" max="10537" width="9.85546875" style="3" customWidth="1"/>
    <col min="10538" max="10538" width="12.85546875" style="3" customWidth="1"/>
    <col min="10539" max="10539" width="13" style="3" customWidth="1"/>
    <col min="10540" max="10540" width="15" style="3" customWidth="1"/>
    <col min="10541" max="10541" width="11.42578125" style="3" customWidth="1"/>
    <col min="10542" max="10542" width="12" style="3" customWidth="1"/>
    <col min="10543" max="10543" width="11.42578125" style="3" customWidth="1"/>
    <col min="10544" max="10544" width="13.28515625" style="3" customWidth="1"/>
    <col min="10545" max="10545" width="13.140625" style="3" customWidth="1"/>
    <col min="10546" max="10546" width="13" style="3" customWidth="1"/>
    <col min="10547" max="10547" width="14.7109375" style="3" customWidth="1"/>
    <col min="10548" max="10550" width="9.140625" style="3" customWidth="1"/>
    <col min="10551" max="10551" width="10.5703125" style="3" customWidth="1"/>
    <col min="10552" max="10553" width="9.42578125" style="3" customWidth="1"/>
    <col min="10554" max="10554" width="9.28515625" style="3" customWidth="1"/>
    <col min="10555" max="10555" width="9" style="3" customWidth="1"/>
    <col min="10556" max="10556" width="8.7109375" style="3" customWidth="1"/>
    <col min="10557" max="10557" width="9.42578125" style="3" customWidth="1"/>
    <col min="10558" max="10558" width="7.42578125" style="3" customWidth="1"/>
    <col min="10559" max="10559" width="8.28515625" style="3" customWidth="1"/>
    <col min="10560" max="10560" width="8" style="3" customWidth="1"/>
    <col min="10561" max="10561" width="11.42578125" style="3" customWidth="1"/>
    <col min="10562" max="10562" width="7.42578125" style="3" customWidth="1"/>
    <col min="10563" max="10563" width="12.140625" style="3" customWidth="1"/>
    <col min="10564" max="10564" width="9.7109375" style="3" customWidth="1"/>
    <col min="10565" max="10565" width="13.140625" style="3" customWidth="1"/>
    <col min="10566" max="10566" width="7.42578125" style="3" customWidth="1"/>
    <col min="10567" max="10567" width="20.7109375" style="3" customWidth="1"/>
    <col min="10568" max="10568" width="0.42578125" style="3" customWidth="1"/>
    <col min="10569" max="10569" width="13.28515625" style="3" customWidth="1"/>
    <col min="10570" max="10570" width="7.28515625" style="3" customWidth="1"/>
    <col min="10571" max="10571" width="13.140625" style="3" customWidth="1"/>
    <col min="10572" max="10767" width="9.140625" style="3"/>
    <col min="10768" max="10768" width="5.5703125" style="3" customWidth="1"/>
    <col min="10769" max="10769" width="29.42578125" style="3" customWidth="1"/>
    <col min="10770" max="10780" width="0" style="3" hidden="1" customWidth="1"/>
    <col min="10781" max="10781" width="14" style="3" customWidth="1"/>
    <col min="10782" max="10782" width="12.85546875" style="3" customWidth="1"/>
    <col min="10783" max="10783" width="13.85546875" style="3" customWidth="1"/>
    <col min="10784" max="10784" width="15" style="3" customWidth="1"/>
    <col min="10785" max="10785" width="12.85546875" style="3" customWidth="1"/>
    <col min="10786" max="10786" width="11.7109375" style="3" customWidth="1"/>
    <col min="10787" max="10787" width="13.85546875" style="3" customWidth="1"/>
    <col min="10788" max="10788" width="10.140625" style="3" customWidth="1"/>
    <col min="10789" max="10789" width="11.85546875" style="3" customWidth="1"/>
    <col min="10790" max="10790" width="10.42578125" style="3" customWidth="1"/>
    <col min="10791" max="10791" width="10.7109375" style="3" customWidth="1"/>
    <col min="10792" max="10792" width="11" style="3" customWidth="1"/>
    <col min="10793" max="10793" width="9.85546875" style="3" customWidth="1"/>
    <col min="10794" max="10794" width="12.85546875" style="3" customWidth="1"/>
    <col min="10795" max="10795" width="13" style="3" customWidth="1"/>
    <col min="10796" max="10796" width="15" style="3" customWidth="1"/>
    <col min="10797" max="10797" width="11.42578125" style="3" customWidth="1"/>
    <col min="10798" max="10798" width="12" style="3" customWidth="1"/>
    <col min="10799" max="10799" width="11.42578125" style="3" customWidth="1"/>
    <col min="10800" max="10800" width="13.28515625" style="3" customWidth="1"/>
    <col min="10801" max="10801" width="13.140625" style="3" customWidth="1"/>
    <col min="10802" max="10802" width="13" style="3" customWidth="1"/>
    <col min="10803" max="10803" width="14.7109375" style="3" customWidth="1"/>
    <col min="10804" max="10806" width="9.140625" style="3" customWidth="1"/>
    <col min="10807" max="10807" width="10.5703125" style="3" customWidth="1"/>
    <col min="10808" max="10809" width="9.42578125" style="3" customWidth="1"/>
    <col min="10810" max="10810" width="9.28515625" style="3" customWidth="1"/>
    <col min="10811" max="10811" width="9" style="3" customWidth="1"/>
    <col min="10812" max="10812" width="8.7109375" style="3" customWidth="1"/>
    <col min="10813" max="10813" width="9.42578125" style="3" customWidth="1"/>
    <col min="10814" max="10814" width="7.42578125" style="3" customWidth="1"/>
    <col min="10815" max="10815" width="8.28515625" style="3" customWidth="1"/>
    <col min="10816" max="10816" width="8" style="3" customWidth="1"/>
    <col min="10817" max="10817" width="11.42578125" style="3" customWidth="1"/>
    <col min="10818" max="10818" width="7.42578125" style="3" customWidth="1"/>
    <col min="10819" max="10819" width="12.140625" style="3" customWidth="1"/>
    <col min="10820" max="10820" width="9.7109375" style="3" customWidth="1"/>
    <col min="10821" max="10821" width="13.140625" style="3" customWidth="1"/>
    <col min="10822" max="10822" width="7.42578125" style="3" customWidth="1"/>
    <col min="10823" max="10823" width="20.7109375" style="3" customWidth="1"/>
    <col min="10824" max="10824" width="0.42578125" style="3" customWidth="1"/>
    <col min="10825" max="10825" width="13.28515625" style="3" customWidth="1"/>
    <col min="10826" max="10826" width="7.28515625" style="3" customWidth="1"/>
    <col min="10827" max="10827" width="13.140625" style="3" customWidth="1"/>
    <col min="10828" max="11023" width="9.140625" style="3"/>
    <col min="11024" max="11024" width="5.5703125" style="3" customWidth="1"/>
    <col min="11025" max="11025" width="29.42578125" style="3" customWidth="1"/>
    <col min="11026" max="11036" width="0" style="3" hidden="1" customWidth="1"/>
    <col min="11037" max="11037" width="14" style="3" customWidth="1"/>
    <col min="11038" max="11038" width="12.85546875" style="3" customWidth="1"/>
    <col min="11039" max="11039" width="13.85546875" style="3" customWidth="1"/>
    <col min="11040" max="11040" width="15" style="3" customWidth="1"/>
    <col min="11041" max="11041" width="12.85546875" style="3" customWidth="1"/>
    <col min="11042" max="11042" width="11.7109375" style="3" customWidth="1"/>
    <col min="11043" max="11043" width="13.85546875" style="3" customWidth="1"/>
    <col min="11044" max="11044" width="10.140625" style="3" customWidth="1"/>
    <col min="11045" max="11045" width="11.85546875" style="3" customWidth="1"/>
    <col min="11046" max="11046" width="10.42578125" style="3" customWidth="1"/>
    <col min="11047" max="11047" width="10.7109375" style="3" customWidth="1"/>
    <col min="11048" max="11048" width="11" style="3" customWidth="1"/>
    <col min="11049" max="11049" width="9.85546875" style="3" customWidth="1"/>
    <col min="11050" max="11050" width="12.85546875" style="3" customWidth="1"/>
    <col min="11051" max="11051" width="13" style="3" customWidth="1"/>
    <col min="11052" max="11052" width="15" style="3" customWidth="1"/>
    <col min="11053" max="11053" width="11.42578125" style="3" customWidth="1"/>
    <col min="11054" max="11054" width="12" style="3" customWidth="1"/>
    <col min="11055" max="11055" width="11.42578125" style="3" customWidth="1"/>
    <col min="11056" max="11056" width="13.28515625" style="3" customWidth="1"/>
    <col min="11057" max="11057" width="13.140625" style="3" customWidth="1"/>
    <col min="11058" max="11058" width="13" style="3" customWidth="1"/>
    <col min="11059" max="11059" width="14.7109375" style="3" customWidth="1"/>
    <col min="11060" max="11062" width="9.140625" style="3" customWidth="1"/>
    <col min="11063" max="11063" width="10.5703125" style="3" customWidth="1"/>
    <col min="11064" max="11065" width="9.42578125" style="3" customWidth="1"/>
    <col min="11066" max="11066" width="9.28515625" style="3" customWidth="1"/>
    <col min="11067" max="11067" width="9" style="3" customWidth="1"/>
    <col min="11068" max="11068" width="8.7109375" style="3" customWidth="1"/>
    <col min="11069" max="11069" width="9.42578125" style="3" customWidth="1"/>
    <col min="11070" max="11070" width="7.42578125" style="3" customWidth="1"/>
    <col min="11071" max="11071" width="8.28515625" style="3" customWidth="1"/>
    <col min="11072" max="11072" width="8" style="3" customWidth="1"/>
    <col min="11073" max="11073" width="11.42578125" style="3" customWidth="1"/>
    <col min="11074" max="11074" width="7.42578125" style="3" customWidth="1"/>
    <col min="11075" max="11075" width="12.140625" style="3" customWidth="1"/>
    <col min="11076" max="11076" width="9.7109375" style="3" customWidth="1"/>
    <col min="11077" max="11077" width="13.140625" style="3" customWidth="1"/>
    <col min="11078" max="11078" width="7.42578125" style="3" customWidth="1"/>
    <col min="11079" max="11079" width="20.7109375" style="3" customWidth="1"/>
    <col min="11080" max="11080" width="0.42578125" style="3" customWidth="1"/>
    <col min="11081" max="11081" width="13.28515625" style="3" customWidth="1"/>
    <col min="11082" max="11082" width="7.28515625" style="3" customWidth="1"/>
    <col min="11083" max="11083" width="13.140625" style="3" customWidth="1"/>
    <col min="11084" max="11279" width="9.140625" style="3"/>
    <col min="11280" max="11280" width="5.5703125" style="3" customWidth="1"/>
    <col min="11281" max="11281" width="29.42578125" style="3" customWidth="1"/>
    <col min="11282" max="11292" width="0" style="3" hidden="1" customWidth="1"/>
    <col min="11293" max="11293" width="14" style="3" customWidth="1"/>
    <col min="11294" max="11294" width="12.85546875" style="3" customWidth="1"/>
    <col min="11295" max="11295" width="13.85546875" style="3" customWidth="1"/>
    <col min="11296" max="11296" width="15" style="3" customWidth="1"/>
    <col min="11297" max="11297" width="12.85546875" style="3" customWidth="1"/>
    <col min="11298" max="11298" width="11.7109375" style="3" customWidth="1"/>
    <col min="11299" max="11299" width="13.85546875" style="3" customWidth="1"/>
    <col min="11300" max="11300" width="10.140625" style="3" customWidth="1"/>
    <col min="11301" max="11301" width="11.85546875" style="3" customWidth="1"/>
    <col min="11302" max="11302" width="10.42578125" style="3" customWidth="1"/>
    <col min="11303" max="11303" width="10.7109375" style="3" customWidth="1"/>
    <col min="11304" max="11304" width="11" style="3" customWidth="1"/>
    <col min="11305" max="11305" width="9.85546875" style="3" customWidth="1"/>
    <col min="11306" max="11306" width="12.85546875" style="3" customWidth="1"/>
    <col min="11307" max="11307" width="13" style="3" customWidth="1"/>
    <col min="11308" max="11308" width="15" style="3" customWidth="1"/>
    <col min="11309" max="11309" width="11.42578125" style="3" customWidth="1"/>
    <col min="11310" max="11310" width="12" style="3" customWidth="1"/>
    <col min="11311" max="11311" width="11.42578125" style="3" customWidth="1"/>
    <col min="11312" max="11312" width="13.28515625" style="3" customWidth="1"/>
    <col min="11313" max="11313" width="13.140625" style="3" customWidth="1"/>
    <col min="11314" max="11314" width="13" style="3" customWidth="1"/>
    <col min="11315" max="11315" width="14.7109375" style="3" customWidth="1"/>
    <col min="11316" max="11318" width="9.140625" style="3" customWidth="1"/>
    <col min="11319" max="11319" width="10.5703125" style="3" customWidth="1"/>
    <col min="11320" max="11321" width="9.42578125" style="3" customWidth="1"/>
    <col min="11322" max="11322" width="9.28515625" style="3" customWidth="1"/>
    <col min="11323" max="11323" width="9" style="3" customWidth="1"/>
    <col min="11324" max="11324" width="8.7109375" style="3" customWidth="1"/>
    <col min="11325" max="11325" width="9.42578125" style="3" customWidth="1"/>
    <col min="11326" max="11326" width="7.42578125" style="3" customWidth="1"/>
    <col min="11327" max="11327" width="8.28515625" style="3" customWidth="1"/>
    <col min="11328" max="11328" width="8" style="3" customWidth="1"/>
    <col min="11329" max="11329" width="11.42578125" style="3" customWidth="1"/>
    <col min="11330" max="11330" width="7.42578125" style="3" customWidth="1"/>
    <col min="11331" max="11331" width="12.140625" style="3" customWidth="1"/>
    <col min="11332" max="11332" width="9.7109375" style="3" customWidth="1"/>
    <col min="11333" max="11333" width="13.140625" style="3" customWidth="1"/>
    <col min="11334" max="11334" width="7.42578125" style="3" customWidth="1"/>
    <col min="11335" max="11335" width="20.7109375" style="3" customWidth="1"/>
    <col min="11336" max="11336" width="0.42578125" style="3" customWidth="1"/>
    <col min="11337" max="11337" width="13.28515625" style="3" customWidth="1"/>
    <col min="11338" max="11338" width="7.28515625" style="3" customWidth="1"/>
    <col min="11339" max="11339" width="13.140625" style="3" customWidth="1"/>
    <col min="11340" max="11535" width="9.140625" style="3"/>
    <col min="11536" max="11536" width="5.5703125" style="3" customWidth="1"/>
    <col min="11537" max="11537" width="29.42578125" style="3" customWidth="1"/>
    <col min="11538" max="11548" width="0" style="3" hidden="1" customWidth="1"/>
    <col min="11549" max="11549" width="14" style="3" customWidth="1"/>
    <col min="11550" max="11550" width="12.85546875" style="3" customWidth="1"/>
    <col min="11551" max="11551" width="13.85546875" style="3" customWidth="1"/>
    <col min="11552" max="11552" width="15" style="3" customWidth="1"/>
    <col min="11553" max="11553" width="12.85546875" style="3" customWidth="1"/>
    <col min="11554" max="11554" width="11.7109375" style="3" customWidth="1"/>
    <col min="11555" max="11555" width="13.85546875" style="3" customWidth="1"/>
    <col min="11556" max="11556" width="10.140625" style="3" customWidth="1"/>
    <col min="11557" max="11557" width="11.85546875" style="3" customWidth="1"/>
    <col min="11558" max="11558" width="10.42578125" style="3" customWidth="1"/>
    <col min="11559" max="11559" width="10.7109375" style="3" customWidth="1"/>
    <col min="11560" max="11560" width="11" style="3" customWidth="1"/>
    <col min="11561" max="11561" width="9.85546875" style="3" customWidth="1"/>
    <col min="11562" max="11562" width="12.85546875" style="3" customWidth="1"/>
    <col min="11563" max="11563" width="13" style="3" customWidth="1"/>
    <col min="11564" max="11564" width="15" style="3" customWidth="1"/>
    <col min="11565" max="11565" width="11.42578125" style="3" customWidth="1"/>
    <col min="11566" max="11566" width="12" style="3" customWidth="1"/>
    <col min="11567" max="11567" width="11.42578125" style="3" customWidth="1"/>
    <col min="11568" max="11568" width="13.28515625" style="3" customWidth="1"/>
    <col min="11569" max="11569" width="13.140625" style="3" customWidth="1"/>
    <col min="11570" max="11570" width="13" style="3" customWidth="1"/>
    <col min="11571" max="11571" width="14.7109375" style="3" customWidth="1"/>
    <col min="11572" max="11574" width="9.140625" style="3" customWidth="1"/>
    <col min="11575" max="11575" width="10.5703125" style="3" customWidth="1"/>
    <col min="11576" max="11577" width="9.42578125" style="3" customWidth="1"/>
    <col min="11578" max="11578" width="9.28515625" style="3" customWidth="1"/>
    <col min="11579" max="11579" width="9" style="3" customWidth="1"/>
    <col min="11580" max="11580" width="8.7109375" style="3" customWidth="1"/>
    <col min="11581" max="11581" width="9.42578125" style="3" customWidth="1"/>
    <col min="11582" max="11582" width="7.42578125" style="3" customWidth="1"/>
    <col min="11583" max="11583" width="8.28515625" style="3" customWidth="1"/>
    <col min="11584" max="11584" width="8" style="3" customWidth="1"/>
    <col min="11585" max="11585" width="11.42578125" style="3" customWidth="1"/>
    <col min="11586" max="11586" width="7.42578125" style="3" customWidth="1"/>
    <col min="11587" max="11587" width="12.140625" style="3" customWidth="1"/>
    <col min="11588" max="11588" width="9.7109375" style="3" customWidth="1"/>
    <col min="11589" max="11589" width="13.140625" style="3" customWidth="1"/>
    <col min="11590" max="11590" width="7.42578125" style="3" customWidth="1"/>
    <col min="11591" max="11591" width="20.7109375" style="3" customWidth="1"/>
    <col min="11592" max="11592" width="0.42578125" style="3" customWidth="1"/>
    <col min="11593" max="11593" width="13.28515625" style="3" customWidth="1"/>
    <col min="11594" max="11594" width="7.28515625" style="3" customWidth="1"/>
    <col min="11595" max="11595" width="13.140625" style="3" customWidth="1"/>
    <col min="11596" max="11791" width="9.140625" style="3"/>
    <col min="11792" max="11792" width="5.5703125" style="3" customWidth="1"/>
    <col min="11793" max="11793" width="29.42578125" style="3" customWidth="1"/>
    <col min="11794" max="11804" width="0" style="3" hidden="1" customWidth="1"/>
    <col min="11805" max="11805" width="14" style="3" customWidth="1"/>
    <col min="11806" max="11806" width="12.85546875" style="3" customWidth="1"/>
    <col min="11807" max="11807" width="13.85546875" style="3" customWidth="1"/>
    <col min="11808" max="11808" width="15" style="3" customWidth="1"/>
    <col min="11809" max="11809" width="12.85546875" style="3" customWidth="1"/>
    <col min="11810" max="11810" width="11.7109375" style="3" customWidth="1"/>
    <col min="11811" max="11811" width="13.85546875" style="3" customWidth="1"/>
    <col min="11812" max="11812" width="10.140625" style="3" customWidth="1"/>
    <col min="11813" max="11813" width="11.85546875" style="3" customWidth="1"/>
    <col min="11814" max="11814" width="10.42578125" style="3" customWidth="1"/>
    <col min="11815" max="11815" width="10.7109375" style="3" customWidth="1"/>
    <col min="11816" max="11816" width="11" style="3" customWidth="1"/>
    <col min="11817" max="11817" width="9.85546875" style="3" customWidth="1"/>
    <col min="11818" max="11818" width="12.85546875" style="3" customWidth="1"/>
    <col min="11819" max="11819" width="13" style="3" customWidth="1"/>
    <col min="11820" max="11820" width="15" style="3" customWidth="1"/>
    <col min="11821" max="11821" width="11.42578125" style="3" customWidth="1"/>
    <col min="11822" max="11822" width="12" style="3" customWidth="1"/>
    <col min="11823" max="11823" width="11.42578125" style="3" customWidth="1"/>
    <col min="11824" max="11824" width="13.28515625" style="3" customWidth="1"/>
    <col min="11825" max="11825" width="13.140625" style="3" customWidth="1"/>
    <col min="11826" max="11826" width="13" style="3" customWidth="1"/>
    <col min="11827" max="11827" width="14.7109375" style="3" customWidth="1"/>
    <col min="11828" max="11830" width="9.140625" style="3" customWidth="1"/>
    <col min="11831" max="11831" width="10.5703125" style="3" customWidth="1"/>
    <col min="11832" max="11833" width="9.42578125" style="3" customWidth="1"/>
    <col min="11834" max="11834" width="9.28515625" style="3" customWidth="1"/>
    <col min="11835" max="11835" width="9" style="3" customWidth="1"/>
    <col min="11836" max="11836" width="8.7109375" style="3" customWidth="1"/>
    <col min="11837" max="11837" width="9.42578125" style="3" customWidth="1"/>
    <col min="11838" max="11838" width="7.42578125" style="3" customWidth="1"/>
    <col min="11839" max="11839" width="8.28515625" style="3" customWidth="1"/>
    <col min="11840" max="11840" width="8" style="3" customWidth="1"/>
    <col min="11841" max="11841" width="11.42578125" style="3" customWidth="1"/>
    <col min="11842" max="11842" width="7.42578125" style="3" customWidth="1"/>
    <col min="11843" max="11843" width="12.140625" style="3" customWidth="1"/>
    <col min="11844" max="11844" width="9.7109375" style="3" customWidth="1"/>
    <col min="11845" max="11845" width="13.140625" style="3" customWidth="1"/>
    <col min="11846" max="11846" width="7.42578125" style="3" customWidth="1"/>
    <col min="11847" max="11847" width="20.7109375" style="3" customWidth="1"/>
    <col min="11848" max="11848" width="0.42578125" style="3" customWidth="1"/>
    <col min="11849" max="11849" width="13.28515625" style="3" customWidth="1"/>
    <col min="11850" max="11850" width="7.28515625" style="3" customWidth="1"/>
    <col min="11851" max="11851" width="13.140625" style="3" customWidth="1"/>
    <col min="11852" max="12047" width="9.140625" style="3"/>
    <col min="12048" max="12048" width="5.5703125" style="3" customWidth="1"/>
    <col min="12049" max="12049" width="29.42578125" style="3" customWidth="1"/>
    <col min="12050" max="12060" width="0" style="3" hidden="1" customWidth="1"/>
    <col min="12061" max="12061" width="14" style="3" customWidth="1"/>
    <col min="12062" max="12062" width="12.85546875" style="3" customWidth="1"/>
    <col min="12063" max="12063" width="13.85546875" style="3" customWidth="1"/>
    <col min="12064" max="12064" width="15" style="3" customWidth="1"/>
    <col min="12065" max="12065" width="12.85546875" style="3" customWidth="1"/>
    <col min="12066" max="12066" width="11.7109375" style="3" customWidth="1"/>
    <col min="12067" max="12067" width="13.85546875" style="3" customWidth="1"/>
    <col min="12068" max="12068" width="10.140625" style="3" customWidth="1"/>
    <col min="12069" max="12069" width="11.85546875" style="3" customWidth="1"/>
    <col min="12070" max="12070" width="10.42578125" style="3" customWidth="1"/>
    <col min="12071" max="12071" width="10.7109375" style="3" customWidth="1"/>
    <col min="12072" max="12072" width="11" style="3" customWidth="1"/>
    <col min="12073" max="12073" width="9.85546875" style="3" customWidth="1"/>
    <col min="12074" max="12074" width="12.85546875" style="3" customWidth="1"/>
    <col min="12075" max="12075" width="13" style="3" customWidth="1"/>
    <col min="12076" max="12076" width="15" style="3" customWidth="1"/>
    <col min="12077" max="12077" width="11.42578125" style="3" customWidth="1"/>
    <col min="12078" max="12078" width="12" style="3" customWidth="1"/>
    <col min="12079" max="12079" width="11.42578125" style="3" customWidth="1"/>
    <col min="12080" max="12080" width="13.28515625" style="3" customWidth="1"/>
    <col min="12081" max="12081" width="13.140625" style="3" customWidth="1"/>
    <col min="12082" max="12082" width="13" style="3" customWidth="1"/>
    <col min="12083" max="12083" width="14.7109375" style="3" customWidth="1"/>
    <col min="12084" max="12086" width="9.140625" style="3" customWidth="1"/>
    <col min="12087" max="12087" width="10.5703125" style="3" customWidth="1"/>
    <col min="12088" max="12089" width="9.42578125" style="3" customWidth="1"/>
    <col min="12090" max="12090" width="9.28515625" style="3" customWidth="1"/>
    <col min="12091" max="12091" width="9" style="3" customWidth="1"/>
    <col min="12092" max="12092" width="8.7109375" style="3" customWidth="1"/>
    <col min="12093" max="12093" width="9.42578125" style="3" customWidth="1"/>
    <col min="12094" max="12094" width="7.42578125" style="3" customWidth="1"/>
    <col min="12095" max="12095" width="8.28515625" style="3" customWidth="1"/>
    <col min="12096" max="12096" width="8" style="3" customWidth="1"/>
    <col min="12097" max="12097" width="11.42578125" style="3" customWidth="1"/>
    <col min="12098" max="12098" width="7.42578125" style="3" customWidth="1"/>
    <col min="12099" max="12099" width="12.140625" style="3" customWidth="1"/>
    <col min="12100" max="12100" width="9.7109375" style="3" customWidth="1"/>
    <col min="12101" max="12101" width="13.140625" style="3" customWidth="1"/>
    <col min="12102" max="12102" width="7.42578125" style="3" customWidth="1"/>
    <col min="12103" max="12103" width="20.7109375" style="3" customWidth="1"/>
    <col min="12104" max="12104" width="0.42578125" style="3" customWidth="1"/>
    <col min="12105" max="12105" width="13.28515625" style="3" customWidth="1"/>
    <col min="12106" max="12106" width="7.28515625" style="3" customWidth="1"/>
    <col min="12107" max="12107" width="13.140625" style="3" customWidth="1"/>
    <col min="12108" max="12303" width="9.140625" style="3"/>
    <col min="12304" max="12304" width="5.5703125" style="3" customWidth="1"/>
    <col min="12305" max="12305" width="29.42578125" style="3" customWidth="1"/>
    <col min="12306" max="12316" width="0" style="3" hidden="1" customWidth="1"/>
    <col min="12317" max="12317" width="14" style="3" customWidth="1"/>
    <col min="12318" max="12318" width="12.85546875" style="3" customWidth="1"/>
    <col min="12319" max="12319" width="13.85546875" style="3" customWidth="1"/>
    <col min="12320" max="12320" width="15" style="3" customWidth="1"/>
    <col min="12321" max="12321" width="12.85546875" style="3" customWidth="1"/>
    <col min="12322" max="12322" width="11.7109375" style="3" customWidth="1"/>
    <col min="12323" max="12323" width="13.85546875" style="3" customWidth="1"/>
    <col min="12324" max="12324" width="10.140625" style="3" customWidth="1"/>
    <col min="12325" max="12325" width="11.85546875" style="3" customWidth="1"/>
    <col min="12326" max="12326" width="10.42578125" style="3" customWidth="1"/>
    <col min="12327" max="12327" width="10.7109375" style="3" customWidth="1"/>
    <col min="12328" max="12328" width="11" style="3" customWidth="1"/>
    <col min="12329" max="12329" width="9.85546875" style="3" customWidth="1"/>
    <col min="12330" max="12330" width="12.85546875" style="3" customWidth="1"/>
    <col min="12331" max="12331" width="13" style="3" customWidth="1"/>
    <col min="12332" max="12332" width="15" style="3" customWidth="1"/>
    <col min="12333" max="12333" width="11.42578125" style="3" customWidth="1"/>
    <col min="12334" max="12334" width="12" style="3" customWidth="1"/>
    <col min="12335" max="12335" width="11.42578125" style="3" customWidth="1"/>
    <col min="12336" max="12336" width="13.28515625" style="3" customWidth="1"/>
    <col min="12337" max="12337" width="13.140625" style="3" customWidth="1"/>
    <col min="12338" max="12338" width="13" style="3" customWidth="1"/>
    <col min="12339" max="12339" width="14.7109375" style="3" customWidth="1"/>
    <col min="12340" max="12342" width="9.140625" style="3" customWidth="1"/>
    <col min="12343" max="12343" width="10.5703125" style="3" customWidth="1"/>
    <col min="12344" max="12345" width="9.42578125" style="3" customWidth="1"/>
    <col min="12346" max="12346" width="9.28515625" style="3" customWidth="1"/>
    <col min="12347" max="12347" width="9" style="3" customWidth="1"/>
    <col min="12348" max="12348" width="8.7109375" style="3" customWidth="1"/>
    <col min="12349" max="12349" width="9.42578125" style="3" customWidth="1"/>
    <col min="12350" max="12350" width="7.42578125" style="3" customWidth="1"/>
    <col min="12351" max="12351" width="8.28515625" style="3" customWidth="1"/>
    <col min="12352" max="12352" width="8" style="3" customWidth="1"/>
    <col min="12353" max="12353" width="11.42578125" style="3" customWidth="1"/>
    <col min="12354" max="12354" width="7.42578125" style="3" customWidth="1"/>
    <col min="12355" max="12355" width="12.140625" style="3" customWidth="1"/>
    <col min="12356" max="12356" width="9.7109375" style="3" customWidth="1"/>
    <col min="12357" max="12357" width="13.140625" style="3" customWidth="1"/>
    <col min="12358" max="12358" width="7.42578125" style="3" customWidth="1"/>
    <col min="12359" max="12359" width="20.7109375" style="3" customWidth="1"/>
    <col min="12360" max="12360" width="0.42578125" style="3" customWidth="1"/>
    <col min="12361" max="12361" width="13.28515625" style="3" customWidth="1"/>
    <col min="12362" max="12362" width="7.28515625" style="3" customWidth="1"/>
    <col min="12363" max="12363" width="13.140625" style="3" customWidth="1"/>
    <col min="12364" max="12559" width="9.140625" style="3"/>
    <col min="12560" max="12560" width="5.5703125" style="3" customWidth="1"/>
    <col min="12561" max="12561" width="29.42578125" style="3" customWidth="1"/>
    <col min="12562" max="12572" width="0" style="3" hidden="1" customWidth="1"/>
    <col min="12573" max="12573" width="14" style="3" customWidth="1"/>
    <col min="12574" max="12574" width="12.85546875" style="3" customWidth="1"/>
    <col min="12575" max="12575" width="13.85546875" style="3" customWidth="1"/>
    <col min="12576" max="12576" width="15" style="3" customWidth="1"/>
    <col min="12577" max="12577" width="12.85546875" style="3" customWidth="1"/>
    <col min="12578" max="12578" width="11.7109375" style="3" customWidth="1"/>
    <col min="12579" max="12579" width="13.85546875" style="3" customWidth="1"/>
    <col min="12580" max="12580" width="10.140625" style="3" customWidth="1"/>
    <col min="12581" max="12581" width="11.85546875" style="3" customWidth="1"/>
    <col min="12582" max="12582" width="10.42578125" style="3" customWidth="1"/>
    <col min="12583" max="12583" width="10.7109375" style="3" customWidth="1"/>
    <col min="12584" max="12584" width="11" style="3" customWidth="1"/>
    <col min="12585" max="12585" width="9.85546875" style="3" customWidth="1"/>
    <col min="12586" max="12586" width="12.85546875" style="3" customWidth="1"/>
    <col min="12587" max="12587" width="13" style="3" customWidth="1"/>
    <col min="12588" max="12588" width="15" style="3" customWidth="1"/>
    <col min="12589" max="12589" width="11.42578125" style="3" customWidth="1"/>
    <col min="12590" max="12590" width="12" style="3" customWidth="1"/>
    <col min="12591" max="12591" width="11.42578125" style="3" customWidth="1"/>
    <col min="12592" max="12592" width="13.28515625" style="3" customWidth="1"/>
    <col min="12593" max="12593" width="13.140625" style="3" customWidth="1"/>
    <col min="12594" max="12594" width="13" style="3" customWidth="1"/>
    <col min="12595" max="12595" width="14.7109375" style="3" customWidth="1"/>
    <col min="12596" max="12598" width="9.140625" style="3" customWidth="1"/>
    <col min="12599" max="12599" width="10.5703125" style="3" customWidth="1"/>
    <col min="12600" max="12601" width="9.42578125" style="3" customWidth="1"/>
    <col min="12602" max="12602" width="9.28515625" style="3" customWidth="1"/>
    <col min="12603" max="12603" width="9" style="3" customWidth="1"/>
    <col min="12604" max="12604" width="8.7109375" style="3" customWidth="1"/>
    <col min="12605" max="12605" width="9.42578125" style="3" customWidth="1"/>
    <col min="12606" max="12606" width="7.42578125" style="3" customWidth="1"/>
    <col min="12607" max="12607" width="8.28515625" style="3" customWidth="1"/>
    <col min="12608" max="12608" width="8" style="3" customWidth="1"/>
    <col min="12609" max="12609" width="11.42578125" style="3" customWidth="1"/>
    <col min="12610" max="12610" width="7.42578125" style="3" customWidth="1"/>
    <col min="12611" max="12611" width="12.140625" style="3" customWidth="1"/>
    <col min="12612" max="12612" width="9.7109375" style="3" customWidth="1"/>
    <col min="12613" max="12613" width="13.140625" style="3" customWidth="1"/>
    <col min="12614" max="12614" width="7.42578125" style="3" customWidth="1"/>
    <col min="12615" max="12615" width="20.7109375" style="3" customWidth="1"/>
    <col min="12616" max="12616" width="0.42578125" style="3" customWidth="1"/>
    <col min="12617" max="12617" width="13.28515625" style="3" customWidth="1"/>
    <col min="12618" max="12618" width="7.28515625" style="3" customWidth="1"/>
    <col min="12619" max="12619" width="13.140625" style="3" customWidth="1"/>
    <col min="12620" max="12815" width="9.140625" style="3"/>
    <col min="12816" max="12816" width="5.5703125" style="3" customWidth="1"/>
    <col min="12817" max="12817" width="29.42578125" style="3" customWidth="1"/>
    <col min="12818" max="12828" width="0" style="3" hidden="1" customWidth="1"/>
    <col min="12829" max="12829" width="14" style="3" customWidth="1"/>
    <col min="12830" max="12830" width="12.85546875" style="3" customWidth="1"/>
    <col min="12831" max="12831" width="13.85546875" style="3" customWidth="1"/>
    <col min="12832" max="12832" width="15" style="3" customWidth="1"/>
    <col min="12833" max="12833" width="12.85546875" style="3" customWidth="1"/>
    <col min="12834" max="12834" width="11.7109375" style="3" customWidth="1"/>
    <col min="12835" max="12835" width="13.85546875" style="3" customWidth="1"/>
    <col min="12836" max="12836" width="10.140625" style="3" customWidth="1"/>
    <col min="12837" max="12837" width="11.85546875" style="3" customWidth="1"/>
    <col min="12838" max="12838" width="10.42578125" style="3" customWidth="1"/>
    <col min="12839" max="12839" width="10.7109375" style="3" customWidth="1"/>
    <col min="12840" max="12840" width="11" style="3" customWidth="1"/>
    <col min="12841" max="12841" width="9.85546875" style="3" customWidth="1"/>
    <col min="12842" max="12842" width="12.85546875" style="3" customWidth="1"/>
    <col min="12843" max="12843" width="13" style="3" customWidth="1"/>
    <col min="12844" max="12844" width="15" style="3" customWidth="1"/>
    <col min="12845" max="12845" width="11.42578125" style="3" customWidth="1"/>
    <col min="12846" max="12846" width="12" style="3" customWidth="1"/>
    <col min="12847" max="12847" width="11.42578125" style="3" customWidth="1"/>
    <col min="12848" max="12848" width="13.28515625" style="3" customWidth="1"/>
    <col min="12849" max="12849" width="13.140625" style="3" customWidth="1"/>
    <col min="12850" max="12850" width="13" style="3" customWidth="1"/>
    <col min="12851" max="12851" width="14.7109375" style="3" customWidth="1"/>
    <col min="12852" max="12854" width="9.140625" style="3" customWidth="1"/>
    <col min="12855" max="12855" width="10.5703125" style="3" customWidth="1"/>
    <col min="12856" max="12857" width="9.42578125" style="3" customWidth="1"/>
    <col min="12858" max="12858" width="9.28515625" style="3" customWidth="1"/>
    <col min="12859" max="12859" width="9" style="3" customWidth="1"/>
    <col min="12860" max="12860" width="8.7109375" style="3" customWidth="1"/>
    <col min="12861" max="12861" width="9.42578125" style="3" customWidth="1"/>
    <col min="12862" max="12862" width="7.42578125" style="3" customWidth="1"/>
    <col min="12863" max="12863" width="8.28515625" style="3" customWidth="1"/>
    <col min="12864" max="12864" width="8" style="3" customWidth="1"/>
    <col min="12865" max="12865" width="11.42578125" style="3" customWidth="1"/>
    <col min="12866" max="12866" width="7.42578125" style="3" customWidth="1"/>
    <col min="12867" max="12867" width="12.140625" style="3" customWidth="1"/>
    <col min="12868" max="12868" width="9.7109375" style="3" customWidth="1"/>
    <col min="12869" max="12869" width="13.140625" style="3" customWidth="1"/>
    <col min="12870" max="12870" width="7.42578125" style="3" customWidth="1"/>
    <col min="12871" max="12871" width="20.7109375" style="3" customWidth="1"/>
    <col min="12872" max="12872" width="0.42578125" style="3" customWidth="1"/>
    <col min="12873" max="12873" width="13.28515625" style="3" customWidth="1"/>
    <col min="12874" max="12874" width="7.28515625" style="3" customWidth="1"/>
    <col min="12875" max="12875" width="13.140625" style="3" customWidth="1"/>
    <col min="12876" max="13071" width="9.140625" style="3"/>
    <col min="13072" max="13072" width="5.5703125" style="3" customWidth="1"/>
    <col min="13073" max="13073" width="29.42578125" style="3" customWidth="1"/>
    <col min="13074" max="13084" width="0" style="3" hidden="1" customWidth="1"/>
    <col min="13085" max="13085" width="14" style="3" customWidth="1"/>
    <col min="13086" max="13086" width="12.85546875" style="3" customWidth="1"/>
    <col min="13087" max="13087" width="13.85546875" style="3" customWidth="1"/>
    <col min="13088" max="13088" width="15" style="3" customWidth="1"/>
    <col min="13089" max="13089" width="12.85546875" style="3" customWidth="1"/>
    <col min="13090" max="13090" width="11.7109375" style="3" customWidth="1"/>
    <col min="13091" max="13091" width="13.85546875" style="3" customWidth="1"/>
    <col min="13092" max="13092" width="10.140625" style="3" customWidth="1"/>
    <col min="13093" max="13093" width="11.85546875" style="3" customWidth="1"/>
    <col min="13094" max="13094" width="10.42578125" style="3" customWidth="1"/>
    <col min="13095" max="13095" width="10.7109375" style="3" customWidth="1"/>
    <col min="13096" max="13096" width="11" style="3" customWidth="1"/>
    <col min="13097" max="13097" width="9.85546875" style="3" customWidth="1"/>
    <col min="13098" max="13098" width="12.85546875" style="3" customWidth="1"/>
    <col min="13099" max="13099" width="13" style="3" customWidth="1"/>
    <col min="13100" max="13100" width="15" style="3" customWidth="1"/>
    <col min="13101" max="13101" width="11.42578125" style="3" customWidth="1"/>
    <col min="13102" max="13102" width="12" style="3" customWidth="1"/>
    <col min="13103" max="13103" width="11.42578125" style="3" customWidth="1"/>
    <col min="13104" max="13104" width="13.28515625" style="3" customWidth="1"/>
    <col min="13105" max="13105" width="13.140625" style="3" customWidth="1"/>
    <col min="13106" max="13106" width="13" style="3" customWidth="1"/>
    <col min="13107" max="13107" width="14.7109375" style="3" customWidth="1"/>
    <col min="13108" max="13110" width="9.140625" style="3" customWidth="1"/>
    <col min="13111" max="13111" width="10.5703125" style="3" customWidth="1"/>
    <col min="13112" max="13113" width="9.42578125" style="3" customWidth="1"/>
    <col min="13114" max="13114" width="9.28515625" style="3" customWidth="1"/>
    <col min="13115" max="13115" width="9" style="3" customWidth="1"/>
    <col min="13116" max="13116" width="8.7109375" style="3" customWidth="1"/>
    <col min="13117" max="13117" width="9.42578125" style="3" customWidth="1"/>
    <col min="13118" max="13118" width="7.42578125" style="3" customWidth="1"/>
    <col min="13119" max="13119" width="8.28515625" style="3" customWidth="1"/>
    <col min="13120" max="13120" width="8" style="3" customWidth="1"/>
    <col min="13121" max="13121" width="11.42578125" style="3" customWidth="1"/>
    <col min="13122" max="13122" width="7.42578125" style="3" customWidth="1"/>
    <col min="13123" max="13123" width="12.140625" style="3" customWidth="1"/>
    <col min="13124" max="13124" width="9.7109375" style="3" customWidth="1"/>
    <col min="13125" max="13125" width="13.140625" style="3" customWidth="1"/>
    <col min="13126" max="13126" width="7.42578125" style="3" customWidth="1"/>
    <col min="13127" max="13127" width="20.7109375" style="3" customWidth="1"/>
    <col min="13128" max="13128" width="0.42578125" style="3" customWidth="1"/>
    <col min="13129" max="13129" width="13.28515625" style="3" customWidth="1"/>
    <col min="13130" max="13130" width="7.28515625" style="3" customWidth="1"/>
    <col min="13131" max="13131" width="13.140625" style="3" customWidth="1"/>
    <col min="13132" max="13327" width="9.140625" style="3"/>
    <col min="13328" max="13328" width="5.5703125" style="3" customWidth="1"/>
    <col min="13329" max="13329" width="29.42578125" style="3" customWidth="1"/>
    <col min="13330" max="13340" width="0" style="3" hidden="1" customWidth="1"/>
    <col min="13341" max="13341" width="14" style="3" customWidth="1"/>
    <col min="13342" max="13342" width="12.85546875" style="3" customWidth="1"/>
    <col min="13343" max="13343" width="13.85546875" style="3" customWidth="1"/>
    <col min="13344" max="13344" width="15" style="3" customWidth="1"/>
    <col min="13345" max="13345" width="12.85546875" style="3" customWidth="1"/>
    <col min="13346" max="13346" width="11.7109375" style="3" customWidth="1"/>
    <col min="13347" max="13347" width="13.85546875" style="3" customWidth="1"/>
    <col min="13348" max="13348" width="10.140625" style="3" customWidth="1"/>
    <col min="13349" max="13349" width="11.85546875" style="3" customWidth="1"/>
    <col min="13350" max="13350" width="10.42578125" style="3" customWidth="1"/>
    <col min="13351" max="13351" width="10.7109375" style="3" customWidth="1"/>
    <col min="13352" max="13352" width="11" style="3" customWidth="1"/>
    <col min="13353" max="13353" width="9.85546875" style="3" customWidth="1"/>
    <col min="13354" max="13354" width="12.85546875" style="3" customWidth="1"/>
    <col min="13355" max="13355" width="13" style="3" customWidth="1"/>
    <col min="13356" max="13356" width="15" style="3" customWidth="1"/>
    <col min="13357" max="13357" width="11.42578125" style="3" customWidth="1"/>
    <col min="13358" max="13358" width="12" style="3" customWidth="1"/>
    <col min="13359" max="13359" width="11.42578125" style="3" customWidth="1"/>
    <col min="13360" max="13360" width="13.28515625" style="3" customWidth="1"/>
    <col min="13361" max="13361" width="13.140625" style="3" customWidth="1"/>
    <col min="13362" max="13362" width="13" style="3" customWidth="1"/>
    <col min="13363" max="13363" width="14.7109375" style="3" customWidth="1"/>
    <col min="13364" max="13366" width="9.140625" style="3" customWidth="1"/>
    <col min="13367" max="13367" width="10.5703125" style="3" customWidth="1"/>
    <col min="13368" max="13369" width="9.42578125" style="3" customWidth="1"/>
    <col min="13370" max="13370" width="9.28515625" style="3" customWidth="1"/>
    <col min="13371" max="13371" width="9" style="3" customWidth="1"/>
    <col min="13372" max="13372" width="8.7109375" style="3" customWidth="1"/>
    <col min="13373" max="13373" width="9.42578125" style="3" customWidth="1"/>
    <col min="13374" max="13374" width="7.42578125" style="3" customWidth="1"/>
    <col min="13375" max="13375" width="8.28515625" style="3" customWidth="1"/>
    <col min="13376" max="13376" width="8" style="3" customWidth="1"/>
    <col min="13377" max="13377" width="11.42578125" style="3" customWidth="1"/>
    <col min="13378" max="13378" width="7.42578125" style="3" customWidth="1"/>
    <col min="13379" max="13379" width="12.140625" style="3" customWidth="1"/>
    <col min="13380" max="13380" width="9.7109375" style="3" customWidth="1"/>
    <col min="13381" max="13381" width="13.140625" style="3" customWidth="1"/>
    <col min="13382" max="13382" width="7.42578125" style="3" customWidth="1"/>
    <col min="13383" max="13383" width="20.7109375" style="3" customWidth="1"/>
    <col min="13384" max="13384" width="0.42578125" style="3" customWidth="1"/>
    <col min="13385" max="13385" width="13.28515625" style="3" customWidth="1"/>
    <col min="13386" max="13386" width="7.28515625" style="3" customWidth="1"/>
    <col min="13387" max="13387" width="13.140625" style="3" customWidth="1"/>
    <col min="13388" max="13583" width="9.140625" style="3"/>
    <col min="13584" max="13584" width="5.5703125" style="3" customWidth="1"/>
    <col min="13585" max="13585" width="29.42578125" style="3" customWidth="1"/>
    <col min="13586" max="13596" width="0" style="3" hidden="1" customWidth="1"/>
    <col min="13597" max="13597" width="14" style="3" customWidth="1"/>
    <col min="13598" max="13598" width="12.85546875" style="3" customWidth="1"/>
    <col min="13599" max="13599" width="13.85546875" style="3" customWidth="1"/>
    <col min="13600" max="13600" width="15" style="3" customWidth="1"/>
    <col min="13601" max="13601" width="12.85546875" style="3" customWidth="1"/>
    <col min="13602" max="13602" width="11.7109375" style="3" customWidth="1"/>
    <col min="13603" max="13603" width="13.85546875" style="3" customWidth="1"/>
    <col min="13604" max="13604" width="10.140625" style="3" customWidth="1"/>
    <col min="13605" max="13605" width="11.85546875" style="3" customWidth="1"/>
    <col min="13606" max="13606" width="10.42578125" style="3" customWidth="1"/>
    <col min="13607" max="13607" width="10.7109375" style="3" customWidth="1"/>
    <col min="13608" max="13608" width="11" style="3" customWidth="1"/>
    <col min="13609" max="13609" width="9.85546875" style="3" customWidth="1"/>
    <col min="13610" max="13610" width="12.85546875" style="3" customWidth="1"/>
    <col min="13611" max="13611" width="13" style="3" customWidth="1"/>
    <col min="13612" max="13612" width="15" style="3" customWidth="1"/>
    <col min="13613" max="13613" width="11.42578125" style="3" customWidth="1"/>
    <col min="13614" max="13614" width="12" style="3" customWidth="1"/>
    <col min="13615" max="13615" width="11.42578125" style="3" customWidth="1"/>
    <col min="13616" max="13616" width="13.28515625" style="3" customWidth="1"/>
    <col min="13617" max="13617" width="13.140625" style="3" customWidth="1"/>
    <col min="13618" max="13618" width="13" style="3" customWidth="1"/>
    <col min="13619" max="13619" width="14.7109375" style="3" customWidth="1"/>
    <col min="13620" max="13622" width="9.140625" style="3" customWidth="1"/>
    <col min="13623" max="13623" width="10.5703125" style="3" customWidth="1"/>
    <col min="13624" max="13625" width="9.42578125" style="3" customWidth="1"/>
    <col min="13626" max="13626" width="9.28515625" style="3" customWidth="1"/>
    <col min="13627" max="13627" width="9" style="3" customWidth="1"/>
    <col min="13628" max="13628" width="8.7109375" style="3" customWidth="1"/>
    <col min="13629" max="13629" width="9.42578125" style="3" customWidth="1"/>
    <col min="13630" max="13630" width="7.42578125" style="3" customWidth="1"/>
    <col min="13631" max="13631" width="8.28515625" style="3" customWidth="1"/>
    <col min="13632" max="13632" width="8" style="3" customWidth="1"/>
    <col min="13633" max="13633" width="11.42578125" style="3" customWidth="1"/>
    <col min="13634" max="13634" width="7.42578125" style="3" customWidth="1"/>
    <col min="13635" max="13635" width="12.140625" style="3" customWidth="1"/>
    <col min="13636" max="13636" width="9.7109375" style="3" customWidth="1"/>
    <col min="13637" max="13637" width="13.140625" style="3" customWidth="1"/>
    <col min="13638" max="13638" width="7.42578125" style="3" customWidth="1"/>
    <col min="13639" max="13639" width="20.7109375" style="3" customWidth="1"/>
    <col min="13640" max="13640" width="0.42578125" style="3" customWidth="1"/>
    <col min="13641" max="13641" width="13.28515625" style="3" customWidth="1"/>
    <col min="13642" max="13642" width="7.28515625" style="3" customWidth="1"/>
    <col min="13643" max="13643" width="13.140625" style="3" customWidth="1"/>
    <col min="13644" max="13839" width="9.140625" style="3"/>
    <col min="13840" max="13840" width="5.5703125" style="3" customWidth="1"/>
    <col min="13841" max="13841" width="29.42578125" style="3" customWidth="1"/>
    <col min="13842" max="13852" width="0" style="3" hidden="1" customWidth="1"/>
    <col min="13853" max="13853" width="14" style="3" customWidth="1"/>
    <col min="13854" max="13854" width="12.85546875" style="3" customWidth="1"/>
    <col min="13855" max="13855" width="13.85546875" style="3" customWidth="1"/>
    <col min="13856" max="13856" width="15" style="3" customWidth="1"/>
    <col min="13857" max="13857" width="12.85546875" style="3" customWidth="1"/>
    <col min="13858" max="13858" width="11.7109375" style="3" customWidth="1"/>
    <col min="13859" max="13859" width="13.85546875" style="3" customWidth="1"/>
    <col min="13860" max="13860" width="10.140625" style="3" customWidth="1"/>
    <col min="13861" max="13861" width="11.85546875" style="3" customWidth="1"/>
    <col min="13862" max="13862" width="10.42578125" style="3" customWidth="1"/>
    <col min="13863" max="13863" width="10.7109375" style="3" customWidth="1"/>
    <col min="13864" max="13864" width="11" style="3" customWidth="1"/>
    <col min="13865" max="13865" width="9.85546875" style="3" customWidth="1"/>
    <col min="13866" max="13866" width="12.85546875" style="3" customWidth="1"/>
    <col min="13867" max="13867" width="13" style="3" customWidth="1"/>
    <col min="13868" max="13868" width="15" style="3" customWidth="1"/>
    <col min="13869" max="13869" width="11.42578125" style="3" customWidth="1"/>
    <col min="13870" max="13870" width="12" style="3" customWidth="1"/>
    <col min="13871" max="13871" width="11.42578125" style="3" customWidth="1"/>
    <col min="13872" max="13872" width="13.28515625" style="3" customWidth="1"/>
    <col min="13873" max="13873" width="13.140625" style="3" customWidth="1"/>
    <col min="13874" max="13874" width="13" style="3" customWidth="1"/>
    <col min="13875" max="13875" width="14.7109375" style="3" customWidth="1"/>
    <col min="13876" max="13878" width="9.140625" style="3" customWidth="1"/>
    <col min="13879" max="13879" width="10.5703125" style="3" customWidth="1"/>
    <col min="13880" max="13881" width="9.42578125" style="3" customWidth="1"/>
    <col min="13882" max="13882" width="9.28515625" style="3" customWidth="1"/>
    <col min="13883" max="13883" width="9" style="3" customWidth="1"/>
    <col min="13884" max="13884" width="8.7109375" style="3" customWidth="1"/>
    <col min="13885" max="13885" width="9.42578125" style="3" customWidth="1"/>
    <col min="13886" max="13886" width="7.42578125" style="3" customWidth="1"/>
    <col min="13887" max="13887" width="8.28515625" style="3" customWidth="1"/>
    <col min="13888" max="13888" width="8" style="3" customWidth="1"/>
    <col min="13889" max="13889" width="11.42578125" style="3" customWidth="1"/>
    <col min="13890" max="13890" width="7.42578125" style="3" customWidth="1"/>
    <col min="13891" max="13891" width="12.140625" style="3" customWidth="1"/>
    <col min="13892" max="13892" width="9.7109375" style="3" customWidth="1"/>
    <col min="13893" max="13893" width="13.140625" style="3" customWidth="1"/>
    <col min="13894" max="13894" width="7.42578125" style="3" customWidth="1"/>
    <col min="13895" max="13895" width="20.7109375" style="3" customWidth="1"/>
    <col min="13896" max="13896" width="0.42578125" style="3" customWidth="1"/>
    <col min="13897" max="13897" width="13.28515625" style="3" customWidth="1"/>
    <col min="13898" max="13898" width="7.28515625" style="3" customWidth="1"/>
    <col min="13899" max="13899" width="13.140625" style="3" customWidth="1"/>
    <col min="13900" max="14095" width="9.140625" style="3"/>
    <col min="14096" max="14096" width="5.5703125" style="3" customWidth="1"/>
    <col min="14097" max="14097" width="29.42578125" style="3" customWidth="1"/>
    <col min="14098" max="14108" width="0" style="3" hidden="1" customWidth="1"/>
    <col min="14109" max="14109" width="14" style="3" customWidth="1"/>
    <col min="14110" max="14110" width="12.85546875" style="3" customWidth="1"/>
    <col min="14111" max="14111" width="13.85546875" style="3" customWidth="1"/>
    <col min="14112" max="14112" width="15" style="3" customWidth="1"/>
    <col min="14113" max="14113" width="12.85546875" style="3" customWidth="1"/>
    <col min="14114" max="14114" width="11.7109375" style="3" customWidth="1"/>
    <col min="14115" max="14115" width="13.85546875" style="3" customWidth="1"/>
    <col min="14116" max="14116" width="10.140625" style="3" customWidth="1"/>
    <col min="14117" max="14117" width="11.85546875" style="3" customWidth="1"/>
    <col min="14118" max="14118" width="10.42578125" style="3" customWidth="1"/>
    <col min="14119" max="14119" width="10.7109375" style="3" customWidth="1"/>
    <col min="14120" max="14120" width="11" style="3" customWidth="1"/>
    <col min="14121" max="14121" width="9.85546875" style="3" customWidth="1"/>
    <col min="14122" max="14122" width="12.85546875" style="3" customWidth="1"/>
    <col min="14123" max="14123" width="13" style="3" customWidth="1"/>
    <col min="14124" max="14124" width="15" style="3" customWidth="1"/>
    <col min="14125" max="14125" width="11.42578125" style="3" customWidth="1"/>
    <col min="14126" max="14126" width="12" style="3" customWidth="1"/>
    <col min="14127" max="14127" width="11.42578125" style="3" customWidth="1"/>
    <col min="14128" max="14128" width="13.28515625" style="3" customWidth="1"/>
    <col min="14129" max="14129" width="13.140625" style="3" customWidth="1"/>
    <col min="14130" max="14130" width="13" style="3" customWidth="1"/>
    <col min="14131" max="14131" width="14.7109375" style="3" customWidth="1"/>
    <col min="14132" max="14134" width="9.140625" style="3" customWidth="1"/>
    <col min="14135" max="14135" width="10.5703125" style="3" customWidth="1"/>
    <col min="14136" max="14137" width="9.42578125" style="3" customWidth="1"/>
    <col min="14138" max="14138" width="9.28515625" style="3" customWidth="1"/>
    <col min="14139" max="14139" width="9" style="3" customWidth="1"/>
    <col min="14140" max="14140" width="8.7109375" style="3" customWidth="1"/>
    <col min="14141" max="14141" width="9.42578125" style="3" customWidth="1"/>
    <col min="14142" max="14142" width="7.42578125" style="3" customWidth="1"/>
    <col min="14143" max="14143" width="8.28515625" style="3" customWidth="1"/>
    <col min="14144" max="14144" width="8" style="3" customWidth="1"/>
    <col min="14145" max="14145" width="11.42578125" style="3" customWidth="1"/>
    <col min="14146" max="14146" width="7.42578125" style="3" customWidth="1"/>
    <col min="14147" max="14147" width="12.140625" style="3" customWidth="1"/>
    <col min="14148" max="14148" width="9.7109375" style="3" customWidth="1"/>
    <col min="14149" max="14149" width="13.140625" style="3" customWidth="1"/>
    <col min="14150" max="14150" width="7.42578125" style="3" customWidth="1"/>
    <col min="14151" max="14151" width="20.7109375" style="3" customWidth="1"/>
    <col min="14152" max="14152" width="0.42578125" style="3" customWidth="1"/>
    <col min="14153" max="14153" width="13.28515625" style="3" customWidth="1"/>
    <col min="14154" max="14154" width="7.28515625" style="3" customWidth="1"/>
    <col min="14155" max="14155" width="13.140625" style="3" customWidth="1"/>
    <col min="14156" max="14351" width="9.140625" style="3"/>
    <col min="14352" max="14352" width="5.5703125" style="3" customWidth="1"/>
    <col min="14353" max="14353" width="29.42578125" style="3" customWidth="1"/>
    <col min="14354" max="14364" width="0" style="3" hidden="1" customWidth="1"/>
    <col min="14365" max="14365" width="14" style="3" customWidth="1"/>
    <col min="14366" max="14366" width="12.85546875" style="3" customWidth="1"/>
    <col min="14367" max="14367" width="13.85546875" style="3" customWidth="1"/>
    <col min="14368" max="14368" width="15" style="3" customWidth="1"/>
    <col min="14369" max="14369" width="12.85546875" style="3" customWidth="1"/>
    <col min="14370" max="14370" width="11.7109375" style="3" customWidth="1"/>
    <col min="14371" max="14371" width="13.85546875" style="3" customWidth="1"/>
    <col min="14372" max="14372" width="10.140625" style="3" customWidth="1"/>
    <col min="14373" max="14373" width="11.85546875" style="3" customWidth="1"/>
    <col min="14374" max="14374" width="10.42578125" style="3" customWidth="1"/>
    <col min="14375" max="14375" width="10.7109375" style="3" customWidth="1"/>
    <col min="14376" max="14376" width="11" style="3" customWidth="1"/>
    <col min="14377" max="14377" width="9.85546875" style="3" customWidth="1"/>
    <col min="14378" max="14378" width="12.85546875" style="3" customWidth="1"/>
    <col min="14379" max="14379" width="13" style="3" customWidth="1"/>
    <col min="14380" max="14380" width="15" style="3" customWidth="1"/>
    <col min="14381" max="14381" width="11.42578125" style="3" customWidth="1"/>
    <col min="14382" max="14382" width="12" style="3" customWidth="1"/>
    <col min="14383" max="14383" width="11.42578125" style="3" customWidth="1"/>
    <col min="14384" max="14384" width="13.28515625" style="3" customWidth="1"/>
    <col min="14385" max="14385" width="13.140625" style="3" customWidth="1"/>
    <col min="14386" max="14386" width="13" style="3" customWidth="1"/>
    <col min="14387" max="14387" width="14.7109375" style="3" customWidth="1"/>
    <col min="14388" max="14390" width="9.140625" style="3" customWidth="1"/>
    <col min="14391" max="14391" width="10.5703125" style="3" customWidth="1"/>
    <col min="14392" max="14393" width="9.42578125" style="3" customWidth="1"/>
    <col min="14394" max="14394" width="9.28515625" style="3" customWidth="1"/>
    <col min="14395" max="14395" width="9" style="3" customWidth="1"/>
    <col min="14396" max="14396" width="8.7109375" style="3" customWidth="1"/>
    <col min="14397" max="14397" width="9.42578125" style="3" customWidth="1"/>
    <col min="14398" max="14398" width="7.42578125" style="3" customWidth="1"/>
    <col min="14399" max="14399" width="8.28515625" style="3" customWidth="1"/>
    <col min="14400" max="14400" width="8" style="3" customWidth="1"/>
    <col min="14401" max="14401" width="11.42578125" style="3" customWidth="1"/>
    <col min="14402" max="14402" width="7.42578125" style="3" customWidth="1"/>
    <col min="14403" max="14403" width="12.140625" style="3" customWidth="1"/>
    <col min="14404" max="14404" width="9.7109375" style="3" customWidth="1"/>
    <col min="14405" max="14405" width="13.140625" style="3" customWidth="1"/>
    <col min="14406" max="14406" width="7.42578125" style="3" customWidth="1"/>
    <col min="14407" max="14407" width="20.7109375" style="3" customWidth="1"/>
    <col min="14408" max="14408" width="0.42578125" style="3" customWidth="1"/>
    <col min="14409" max="14409" width="13.28515625" style="3" customWidth="1"/>
    <col min="14410" max="14410" width="7.28515625" style="3" customWidth="1"/>
    <col min="14411" max="14411" width="13.140625" style="3" customWidth="1"/>
    <col min="14412" max="14607" width="9.140625" style="3"/>
    <col min="14608" max="14608" width="5.5703125" style="3" customWidth="1"/>
    <col min="14609" max="14609" width="29.42578125" style="3" customWidth="1"/>
    <col min="14610" max="14620" width="0" style="3" hidden="1" customWidth="1"/>
    <col min="14621" max="14621" width="14" style="3" customWidth="1"/>
    <col min="14622" max="14622" width="12.85546875" style="3" customWidth="1"/>
    <col min="14623" max="14623" width="13.85546875" style="3" customWidth="1"/>
    <col min="14624" max="14624" width="15" style="3" customWidth="1"/>
    <col min="14625" max="14625" width="12.85546875" style="3" customWidth="1"/>
    <col min="14626" max="14626" width="11.7109375" style="3" customWidth="1"/>
    <col min="14627" max="14627" width="13.85546875" style="3" customWidth="1"/>
    <col min="14628" max="14628" width="10.140625" style="3" customWidth="1"/>
    <col min="14629" max="14629" width="11.85546875" style="3" customWidth="1"/>
    <col min="14630" max="14630" width="10.42578125" style="3" customWidth="1"/>
    <col min="14631" max="14631" width="10.7109375" style="3" customWidth="1"/>
    <col min="14632" max="14632" width="11" style="3" customWidth="1"/>
    <col min="14633" max="14633" width="9.85546875" style="3" customWidth="1"/>
    <col min="14634" max="14634" width="12.85546875" style="3" customWidth="1"/>
    <col min="14635" max="14635" width="13" style="3" customWidth="1"/>
    <col min="14636" max="14636" width="15" style="3" customWidth="1"/>
    <col min="14637" max="14637" width="11.42578125" style="3" customWidth="1"/>
    <col min="14638" max="14638" width="12" style="3" customWidth="1"/>
    <col min="14639" max="14639" width="11.42578125" style="3" customWidth="1"/>
    <col min="14640" max="14640" width="13.28515625" style="3" customWidth="1"/>
    <col min="14641" max="14641" width="13.140625" style="3" customWidth="1"/>
    <col min="14642" max="14642" width="13" style="3" customWidth="1"/>
    <col min="14643" max="14643" width="14.7109375" style="3" customWidth="1"/>
    <col min="14644" max="14646" width="9.140625" style="3" customWidth="1"/>
    <col min="14647" max="14647" width="10.5703125" style="3" customWidth="1"/>
    <col min="14648" max="14649" width="9.42578125" style="3" customWidth="1"/>
    <col min="14650" max="14650" width="9.28515625" style="3" customWidth="1"/>
    <col min="14651" max="14651" width="9" style="3" customWidth="1"/>
    <col min="14652" max="14652" width="8.7109375" style="3" customWidth="1"/>
    <col min="14653" max="14653" width="9.42578125" style="3" customWidth="1"/>
    <col min="14654" max="14654" width="7.42578125" style="3" customWidth="1"/>
    <col min="14655" max="14655" width="8.28515625" style="3" customWidth="1"/>
    <col min="14656" max="14656" width="8" style="3" customWidth="1"/>
    <col min="14657" max="14657" width="11.42578125" style="3" customWidth="1"/>
    <col min="14658" max="14658" width="7.42578125" style="3" customWidth="1"/>
    <col min="14659" max="14659" width="12.140625" style="3" customWidth="1"/>
    <col min="14660" max="14660" width="9.7109375" style="3" customWidth="1"/>
    <col min="14661" max="14661" width="13.140625" style="3" customWidth="1"/>
    <col min="14662" max="14662" width="7.42578125" style="3" customWidth="1"/>
    <col min="14663" max="14663" width="20.7109375" style="3" customWidth="1"/>
    <col min="14664" max="14664" width="0.42578125" style="3" customWidth="1"/>
    <col min="14665" max="14665" width="13.28515625" style="3" customWidth="1"/>
    <col min="14666" max="14666" width="7.28515625" style="3" customWidth="1"/>
    <col min="14667" max="14667" width="13.140625" style="3" customWidth="1"/>
    <col min="14668" max="14863" width="9.140625" style="3"/>
    <col min="14864" max="14864" width="5.5703125" style="3" customWidth="1"/>
    <col min="14865" max="14865" width="29.42578125" style="3" customWidth="1"/>
    <col min="14866" max="14876" width="0" style="3" hidden="1" customWidth="1"/>
    <col min="14877" max="14877" width="14" style="3" customWidth="1"/>
    <col min="14878" max="14878" width="12.85546875" style="3" customWidth="1"/>
    <col min="14879" max="14879" width="13.85546875" style="3" customWidth="1"/>
    <col min="14880" max="14880" width="15" style="3" customWidth="1"/>
    <col min="14881" max="14881" width="12.85546875" style="3" customWidth="1"/>
    <col min="14882" max="14882" width="11.7109375" style="3" customWidth="1"/>
    <col min="14883" max="14883" width="13.85546875" style="3" customWidth="1"/>
    <col min="14884" max="14884" width="10.140625" style="3" customWidth="1"/>
    <col min="14885" max="14885" width="11.85546875" style="3" customWidth="1"/>
    <col min="14886" max="14886" width="10.42578125" style="3" customWidth="1"/>
    <col min="14887" max="14887" width="10.7109375" style="3" customWidth="1"/>
    <col min="14888" max="14888" width="11" style="3" customWidth="1"/>
    <col min="14889" max="14889" width="9.85546875" style="3" customWidth="1"/>
    <col min="14890" max="14890" width="12.85546875" style="3" customWidth="1"/>
    <col min="14891" max="14891" width="13" style="3" customWidth="1"/>
    <col min="14892" max="14892" width="15" style="3" customWidth="1"/>
    <col min="14893" max="14893" width="11.42578125" style="3" customWidth="1"/>
    <col min="14894" max="14894" width="12" style="3" customWidth="1"/>
    <col min="14895" max="14895" width="11.42578125" style="3" customWidth="1"/>
    <col min="14896" max="14896" width="13.28515625" style="3" customWidth="1"/>
    <col min="14897" max="14897" width="13.140625" style="3" customWidth="1"/>
    <col min="14898" max="14898" width="13" style="3" customWidth="1"/>
    <col min="14899" max="14899" width="14.7109375" style="3" customWidth="1"/>
    <col min="14900" max="14902" width="9.140625" style="3" customWidth="1"/>
    <col min="14903" max="14903" width="10.5703125" style="3" customWidth="1"/>
    <col min="14904" max="14905" width="9.42578125" style="3" customWidth="1"/>
    <col min="14906" max="14906" width="9.28515625" style="3" customWidth="1"/>
    <col min="14907" max="14907" width="9" style="3" customWidth="1"/>
    <col min="14908" max="14908" width="8.7109375" style="3" customWidth="1"/>
    <col min="14909" max="14909" width="9.42578125" style="3" customWidth="1"/>
    <col min="14910" max="14910" width="7.42578125" style="3" customWidth="1"/>
    <col min="14911" max="14911" width="8.28515625" style="3" customWidth="1"/>
    <col min="14912" max="14912" width="8" style="3" customWidth="1"/>
    <col min="14913" max="14913" width="11.42578125" style="3" customWidth="1"/>
    <col min="14914" max="14914" width="7.42578125" style="3" customWidth="1"/>
    <col min="14915" max="14915" width="12.140625" style="3" customWidth="1"/>
    <col min="14916" max="14916" width="9.7109375" style="3" customWidth="1"/>
    <col min="14917" max="14917" width="13.140625" style="3" customWidth="1"/>
    <col min="14918" max="14918" width="7.42578125" style="3" customWidth="1"/>
    <col min="14919" max="14919" width="20.7109375" style="3" customWidth="1"/>
    <col min="14920" max="14920" width="0.42578125" style="3" customWidth="1"/>
    <col min="14921" max="14921" width="13.28515625" style="3" customWidth="1"/>
    <col min="14922" max="14922" width="7.28515625" style="3" customWidth="1"/>
    <col min="14923" max="14923" width="13.140625" style="3" customWidth="1"/>
    <col min="14924" max="15119" width="9.140625" style="3"/>
    <col min="15120" max="15120" width="5.5703125" style="3" customWidth="1"/>
    <col min="15121" max="15121" width="29.42578125" style="3" customWidth="1"/>
    <col min="15122" max="15132" width="0" style="3" hidden="1" customWidth="1"/>
    <col min="15133" max="15133" width="14" style="3" customWidth="1"/>
    <col min="15134" max="15134" width="12.85546875" style="3" customWidth="1"/>
    <col min="15135" max="15135" width="13.85546875" style="3" customWidth="1"/>
    <col min="15136" max="15136" width="15" style="3" customWidth="1"/>
    <col min="15137" max="15137" width="12.85546875" style="3" customWidth="1"/>
    <col min="15138" max="15138" width="11.7109375" style="3" customWidth="1"/>
    <col min="15139" max="15139" width="13.85546875" style="3" customWidth="1"/>
    <col min="15140" max="15140" width="10.140625" style="3" customWidth="1"/>
    <col min="15141" max="15141" width="11.85546875" style="3" customWidth="1"/>
    <col min="15142" max="15142" width="10.42578125" style="3" customWidth="1"/>
    <col min="15143" max="15143" width="10.7109375" style="3" customWidth="1"/>
    <col min="15144" max="15144" width="11" style="3" customWidth="1"/>
    <col min="15145" max="15145" width="9.85546875" style="3" customWidth="1"/>
    <col min="15146" max="15146" width="12.85546875" style="3" customWidth="1"/>
    <col min="15147" max="15147" width="13" style="3" customWidth="1"/>
    <col min="15148" max="15148" width="15" style="3" customWidth="1"/>
    <col min="15149" max="15149" width="11.42578125" style="3" customWidth="1"/>
    <col min="15150" max="15150" width="12" style="3" customWidth="1"/>
    <col min="15151" max="15151" width="11.42578125" style="3" customWidth="1"/>
    <col min="15152" max="15152" width="13.28515625" style="3" customWidth="1"/>
    <col min="15153" max="15153" width="13.140625" style="3" customWidth="1"/>
    <col min="15154" max="15154" width="13" style="3" customWidth="1"/>
    <col min="15155" max="15155" width="14.7109375" style="3" customWidth="1"/>
    <col min="15156" max="15158" width="9.140625" style="3" customWidth="1"/>
    <col min="15159" max="15159" width="10.5703125" style="3" customWidth="1"/>
    <col min="15160" max="15161" width="9.42578125" style="3" customWidth="1"/>
    <col min="15162" max="15162" width="9.28515625" style="3" customWidth="1"/>
    <col min="15163" max="15163" width="9" style="3" customWidth="1"/>
    <col min="15164" max="15164" width="8.7109375" style="3" customWidth="1"/>
    <col min="15165" max="15165" width="9.42578125" style="3" customWidth="1"/>
    <col min="15166" max="15166" width="7.42578125" style="3" customWidth="1"/>
    <col min="15167" max="15167" width="8.28515625" style="3" customWidth="1"/>
    <col min="15168" max="15168" width="8" style="3" customWidth="1"/>
    <col min="15169" max="15169" width="11.42578125" style="3" customWidth="1"/>
    <col min="15170" max="15170" width="7.42578125" style="3" customWidth="1"/>
    <col min="15171" max="15171" width="12.140625" style="3" customWidth="1"/>
    <col min="15172" max="15172" width="9.7109375" style="3" customWidth="1"/>
    <col min="15173" max="15173" width="13.140625" style="3" customWidth="1"/>
    <col min="15174" max="15174" width="7.42578125" style="3" customWidth="1"/>
    <col min="15175" max="15175" width="20.7109375" style="3" customWidth="1"/>
    <col min="15176" max="15176" width="0.42578125" style="3" customWidth="1"/>
    <col min="15177" max="15177" width="13.28515625" style="3" customWidth="1"/>
    <col min="15178" max="15178" width="7.28515625" style="3" customWidth="1"/>
    <col min="15179" max="15179" width="13.140625" style="3" customWidth="1"/>
    <col min="15180" max="15375" width="9.140625" style="3"/>
    <col min="15376" max="15376" width="5.5703125" style="3" customWidth="1"/>
    <col min="15377" max="15377" width="29.42578125" style="3" customWidth="1"/>
    <col min="15378" max="15388" width="0" style="3" hidden="1" customWidth="1"/>
    <col min="15389" max="15389" width="14" style="3" customWidth="1"/>
    <col min="15390" max="15390" width="12.85546875" style="3" customWidth="1"/>
    <col min="15391" max="15391" width="13.85546875" style="3" customWidth="1"/>
    <col min="15392" max="15392" width="15" style="3" customWidth="1"/>
    <col min="15393" max="15393" width="12.85546875" style="3" customWidth="1"/>
    <col min="15394" max="15394" width="11.7109375" style="3" customWidth="1"/>
    <col min="15395" max="15395" width="13.85546875" style="3" customWidth="1"/>
    <col min="15396" max="15396" width="10.140625" style="3" customWidth="1"/>
    <col min="15397" max="15397" width="11.85546875" style="3" customWidth="1"/>
    <col min="15398" max="15398" width="10.42578125" style="3" customWidth="1"/>
    <col min="15399" max="15399" width="10.7109375" style="3" customWidth="1"/>
    <col min="15400" max="15400" width="11" style="3" customWidth="1"/>
    <col min="15401" max="15401" width="9.85546875" style="3" customWidth="1"/>
    <col min="15402" max="15402" width="12.85546875" style="3" customWidth="1"/>
    <col min="15403" max="15403" width="13" style="3" customWidth="1"/>
    <col min="15404" max="15404" width="15" style="3" customWidth="1"/>
    <col min="15405" max="15405" width="11.42578125" style="3" customWidth="1"/>
    <col min="15406" max="15406" width="12" style="3" customWidth="1"/>
    <col min="15407" max="15407" width="11.42578125" style="3" customWidth="1"/>
    <col min="15408" max="15408" width="13.28515625" style="3" customWidth="1"/>
    <col min="15409" max="15409" width="13.140625" style="3" customWidth="1"/>
    <col min="15410" max="15410" width="13" style="3" customWidth="1"/>
    <col min="15411" max="15411" width="14.7109375" style="3" customWidth="1"/>
    <col min="15412" max="15414" width="9.140625" style="3" customWidth="1"/>
    <col min="15415" max="15415" width="10.5703125" style="3" customWidth="1"/>
    <col min="15416" max="15417" width="9.42578125" style="3" customWidth="1"/>
    <col min="15418" max="15418" width="9.28515625" style="3" customWidth="1"/>
    <col min="15419" max="15419" width="9" style="3" customWidth="1"/>
    <col min="15420" max="15420" width="8.7109375" style="3" customWidth="1"/>
    <col min="15421" max="15421" width="9.42578125" style="3" customWidth="1"/>
    <col min="15422" max="15422" width="7.42578125" style="3" customWidth="1"/>
    <col min="15423" max="15423" width="8.28515625" style="3" customWidth="1"/>
    <col min="15424" max="15424" width="8" style="3" customWidth="1"/>
    <col min="15425" max="15425" width="11.42578125" style="3" customWidth="1"/>
    <col min="15426" max="15426" width="7.42578125" style="3" customWidth="1"/>
    <col min="15427" max="15427" width="12.140625" style="3" customWidth="1"/>
    <col min="15428" max="15428" width="9.7109375" style="3" customWidth="1"/>
    <col min="15429" max="15429" width="13.140625" style="3" customWidth="1"/>
    <col min="15430" max="15430" width="7.42578125" style="3" customWidth="1"/>
    <col min="15431" max="15431" width="20.7109375" style="3" customWidth="1"/>
    <col min="15432" max="15432" width="0.42578125" style="3" customWidth="1"/>
    <col min="15433" max="15433" width="13.28515625" style="3" customWidth="1"/>
    <col min="15434" max="15434" width="7.28515625" style="3" customWidth="1"/>
    <col min="15435" max="15435" width="13.140625" style="3" customWidth="1"/>
    <col min="15436" max="15631" width="9.140625" style="3"/>
    <col min="15632" max="15632" width="5.5703125" style="3" customWidth="1"/>
    <col min="15633" max="15633" width="29.42578125" style="3" customWidth="1"/>
    <col min="15634" max="15644" width="0" style="3" hidden="1" customWidth="1"/>
    <col min="15645" max="15645" width="14" style="3" customWidth="1"/>
    <col min="15646" max="15646" width="12.85546875" style="3" customWidth="1"/>
    <col min="15647" max="15647" width="13.85546875" style="3" customWidth="1"/>
    <col min="15648" max="15648" width="15" style="3" customWidth="1"/>
    <col min="15649" max="15649" width="12.85546875" style="3" customWidth="1"/>
    <col min="15650" max="15650" width="11.7109375" style="3" customWidth="1"/>
    <col min="15651" max="15651" width="13.85546875" style="3" customWidth="1"/>
    <col min="15652" max="15652" width="10.140625" style="3" customWidth="1"/>
    <col min="15653" max="15653" width="11.85546875" style="3" customWidth="1"/>
    <col min="15654" max="15654" width="10.42578125" style="3" customWidth="1"/>
    <col min="15655" max="15655" width="10.7109375" style="3" customWidth="1"/>
    <col min="15656" max="15656" width="11" style="3" customWidth="1"/>
    <col min="15657" max="15657" width="9.85546875" style="3" customWidth="1"/>
    <col min="15658" max="15658" width="12.85546875" style="3" customWidth="1"/>
    <col min="15659" max="15659" width="13" style="3" customWidth="1"/>
    <col min="15660" max="15660" width="15" style="3" customWidth="1"/>
    <col min="15661" max="15661" width="11.42578125" style="3" customWidth="1"/>
    <col min="15662" max="15662" width="12" style="3" customWidth="1"/>
    <col min="15663" max="15663" width="11.42578125" style="3" customWidth="1"/>
    <col min="15664" max="15664" width="13.28515625" style="3" customWidth="1"/>
    <col min="15665" max="15665" width="13.140625" style="3" customWidth="1"/>
    <col min="15666" max="15666" width="13" style="3" customWidth="1"/>
    <col min="15667" max="15667" width="14.7109375" style="3" customWidth="1"/>
    <col min="15668" max="15670" width="9.140625" style="3" customWidth="1"/>
    <col min="15671" max="15671" width="10.5703125" style="3" customWidth="1"/>
    <col min="15672" max="15673" width="9.42578125" style="3" customWidth="1"/>
    <col min="15674" max="15674" width="9.28515625" style="3" customWidth="1"/>
    <col min="15675" max="15675" width="9" style="3" customWidth="1"/>
    <col min="15676" max="15676" width="8.7109375" style="3" customWidth="1"/>
    <col min="15677" max="15677" width="9.42578125" style="3" customWidth="1"/>
    <col min="15678" max="15678" width="7.42578125" style="3" customWidth="1"/>
    <col min="15679" max="15679" width="8.28515625" style="3" customWidth="1"/>
    <col min="15680" max="15680" width="8" style="3" customWidth="1"/>
    <col min="15681" max="15681" width="11.42578125" style="3" customWidth="1"/>
    <col min="15682" max="15682" width="7.42578125" style="3" customWidth="1"/>
    <col min="15683" max="15683" width="12.140625" style="3" customWidth="1"/>
    <col min="15684" max="15684" width="9.7109375" style="3" customWidth="1"/>
    <col min="15685" max="15685" width="13.140625" style="3" customWidth="1"/>
    <col min="15686" max="15686" width="7.42578125" style="3" customWidth="1"/>
    <col min="15687" max="15687" width="20.7109375" style="3" customWidth="1"/>
    <col min="15688" max="15688" width="0.42578125" style="3" customWidth="1"/>
    <col min="15689" max="15689" width="13.28515625" style="3" customWidth="1"/>
    <col min="15690" max="15690" width="7.28515625" style="3" customWidth="1"/>
    <col min="15691" max="15691" width="13.140625" style="3" customWidth="1"/>
    <col min="15692" max="15887" width="9.140625" style="3"/>
    <col min="15888" max="15888" width="5.5703125" style="3" customWidth="1"/>
    <col min="15889" max="15889" width="29.42578125" style="3" customWidth="1"/>
    <col min="15890" max="15900" width="0" style="3" hidden="1" customWidth="1"/>
    <col min="15901" max="15901" width="14" style="3" customWidth="1"/>
    <col min="15902" max="15902" width="12.85546875" style="3" customWidth="1"/>
    <col min="15903" max="15903" width="13.85546875" style="3" customWidth="1"/>
    <col min="15904" max="15904" width="15" style="3" customWidth="1"/>
    <col min="15905" max="15905" width="12.85546875" style="3" customWidth="1"/>
    <col min="15906" max="15906" width="11.7109375" style="3" customWidth="1"/>
    <col min="15907" max="15907" width="13.85546875" style="3" customWidth="1"/>
    <col min="15908" max="15908" width="10.140625" style="3" customWidth="1"/>
    <col min="15909" max="15909" width="11.85546875" style="3" customWidth="1"/>
    <col min="15910" max="15910" width="10.42578125" style="3" customWidth="1"/>
    <col min="15911" max="15911" width="10.7109375" style="3" customWidth="1"/>
    <col min="15912" max="15912" width="11" style="3" customWidth="1"/>
    <col min="15913" max="15913" width="9.85546875" style="3" customWidth="1"/>
    <col min="15914" max="15914" width="12.85546875" style="3" customWidth="1"/>
    <col min="15915" max="15915" width="13" style="3" customWidth="1"/>
    <col min="15916" max="15916" width="15" style="3" customWidth="1"/>
    <col min="15917" max="15917" width="11.42578125" style="3" customWidth="1"/>
    <col min="15918" max="15918" width="12" style="3" customWidth="1"/>
    <col min="15919" max="15919" width="11.42578125" style="3" customWidth="1"/>
    <col min="15920" max="15920" width="13.28515625" style="3" customWidth="1"/>
    <col min="15921" max="15921" width="13.140625" style="3" customWidth="1"/>
    <col min="15922" max="15922" width="13" style="3" customWidth="1"/>
    <col min="15923" max="15923" width="14.7109375" style="3" customWidth="1"/>
    <col min="15924" max="15926" width="9.140625" style="3" customWidth="1"/>
    <col min="15927" max="15927" width="10.5703125" style="3" customWidth="1"/>
    <col min="15928" max="15929" width="9.42578125" style="3" customWidth="1"/>
    <col min="15930" max="15930" width="9.28515625" style="3" customWidth="1"/>
    <col min="15931" max="15931" width="9" style="3" customWidth="1"/>
    <col min="15932" max="15932" width="8.7109375" style="3" customWidth="1"/>
    <col min="15933" max="15933" width="9.42578125" style="3" customWidth="1"/>
    <col min="15934" max="15934" width="7.42578125" style="3" customWidth="1"/>
    <col min="15935" max="15935" width="8.28515625" style="3" customWidth="1"/>
    <col min="15936" max="15936" width="8" style="3" customWidth="1"/>
    <col min="15937" max="15937" width="11.42578125" style="3" customWidth="1"/>
    <col min="15938" max="15938" width="7.42578125" style="3" customWidth="1"/>
    <col min="15939" max="15939" width="12.140625" style="3" customWidth="1"/>
    <col min="15940" max="15940" width="9.7109375" style="3" customWidth="1"/>
    <col min="15941" max="15941" width="13.140625" style="3" customWidth="1"/>
    <col min="15942" max="15942" width="7.42578125" style="3" customWidth="1"/>
    <col min="15943" max="15943" width="20.7109375" style="3" customWidth="1"/>
    <col min="15944" max="15944" width="0.42578125" style="3" customWidth="1"/>
    <col min="15945" max="15945" width="13.28515625" style="3" customWidth="1"/>
    <col min="15946" max="15946" width="7.28515625" style="3" customWidth="1"/>
    <col min="15947" max="15947" width="13.140625" style="3" customWidth="1"/>
    <col min="15948" max="16143" width="9.140625" style="3"/>
    <col min="16144" max="16144" width="5.5703125" style="3" customWidth="1"/>
    <col min="16145" max="16145" width="29.42578125" style="3" customWidth="1"/>
    <col min="16146" max="16156" width="0" style="3" hidden="1" customWidth="1"/>
    <col min="16157" max="16157" width="14" style="3" customWidth="1"/>
    <col min="16158" max="16158" width="12.85546875" style="3" customWidth="1"/>
    <col min="16159" max="16159" width="13.85546875" style="3" customWidth="1"/>
    <col min="16160" max="16160" width="15" style="3" customWidth="1"/>
    <col min="16161" max="16161" width="12.85546875" style="3" customWidth="1"/>
    <col min="16162" max="16162" width="11.7109375" style="3" customWidth="1"/>
    <col min="16163" max="16163" width="13.85546875" style="3" customWidth="1"/>
    <col min="16164" max="16164" width="10.140625" style="3" customWidth="1"/>
    <col min="16165" max="16165" width="11.85546875" style="3" customWidth="1"/>
    <col min="16166" max="16166" width="10.42578125" style="3" customWidth="1"/>
    <col min="16167" max="16167" width="10.7109375" style="3" customWidth="1"/>
    <col min="16168" max="16168" width="11" style="3" customWidth="1"/>
    <col min="16169" max="16169" width="9.85546875" style="3" customWidth="1"/>
    <col min="16170" max="16170" width="12.85546875" style="3" customWidth="1"/>
    <col min="16171" max="16171" width="13" style="3" customWidth="1"/>
    <col min="16172" max="16172" width="15" style="3" customWidth="1"/>
    <col min="16173" max="16173" width="11.42578125" style="3" customWidth="1"/>
    <col min="16174" max="16174" width="12" style="3" customWidth="1"/>
    <col min="16175" max="16175" width="11.42578125" style="3" customWidth="1"/>
    <col min="16176" max="16176" width="13.28515625" style="3" customWidth="1"/>
    <col min="16177" max="16177" width="13.140625" style="3" customWidth="1"/>
    <col min="16178" max="16178" width="13" style="3" customWidth="1"/>
    <col min="16179" max="16179" width="14.7109375" style="3" customWidth="1"/>
    <col min="16180" max="16182" width="9.140625" style="3" customWidth="1"/>
    <col min="16183" max="16183" width="10.5703125" style="3" customWidth="1"/>
    <col min="16184" max="16185" width="9.42578125" style="3" customWidth="1"/>
    <col min="16186" max="16186" width="9.28515625" style="3" customWidth="1"/>
    <col min="16187" max="16187" width="9" style="3" customWidth="1"/>
    <col min="16188" max="16188" width="8.7109375" style="3" customWidth="1"/>
    <col min="16189" max="16189" width="9.42578125" style="3" customWidth="1"/>
    <col min="16190" max="16190" width="7.42578125" style="3" customWidth="1"/>
    <col min="16191" max="16191" width="8.28515625" style="3" customWidth="1"/>
    <col min="16192" max="16192" width="8" style="3" customWidth="1"/>
    <col min="16193" max="16193" width="11.42578125" style="3" customWidth="1"/>
    <col min="16194" max="16194" width="7.42578125" style="3" customWidth="1"/>
    <col min="16195" max="16195" width="12.140625" style="3" customWidth="1"/>
    <col min="16196" max="16196" width="9.7109375" style="3" customWidth="1"/>
    <col min="16197" max="16197" width="13.140625" style="3" customWidth="1"/>
    <col min="16198" max="16198" width="7.42578125" style="3" customWidth="1"/>
    <col min="16199" max="16199" width="20.7109375" style="3" customWidth="1"/>
    <col min="16200" max="16200" width="0.42578125" style="3" customWidth="1"/>
    <col min="16201" max="16201" width="13.28515625" style="3" customWidth="1"/>
    <col min="16202" max="16202" width="7.28515625" style="3" customWidth="1"/>
    <col min="16203" max="16203" width="13.140625" style="3" customWidth="1"/>
    <col min="16204" max="16384" width="9.140625" style="3"/>
  </cols>
  <sheetData>
    <row r="1" spans="1:79" ht="20.25">
      <c r="B1" s="2" t="s">
        <v>267</v>
      </c>
    </row>
    <row r="2" spans="1:79" ht="16.5" thickBot="1">
      <c r="A2" s="6"/>
      <c r="B2" s="220" t="s">
        <v>268</v>
      </c>
      <c r="O2" s="7"/>
      <c r="BC2" s="7"/>
    </row>
    <row r="3" spans="1:79" ht="16.5" thickBot="1">
      <c r="A3" s="8"/>
      <c r="B3" s="9"/>
      <c r="C3" s="10"/>
      <c r="D3" s="11"/>
      <c r="E3" s="12"/>
      <c r="F3" s="12"/>
      <c r="G3" s="12"/>
      <c r="H3" s="13"/>
      <c r="I3" s="13"/>
      <c r="J3" s="13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5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H3" s="16" t="s">
        <v>0</v>
      </c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8"/>
    </row>
    <row r="4" spans="1:79" ht="51.75" customHeight="1" thickBot="1">
      <c r="A4" s="19" t="s">
        <v>1</v>
      </c>
      <c r="B4" s="20" t="s">
        <v>2</v>
      </c>
      <c r="C4" s="20" t="s">
        <v>3</v>
      </c>
      <c r="D4" s="21" t="s">
        <v>4</v>
      </c>
      <c r="E4" s="22" t="s">
        <v>5</v>
      </c>
      <c r="F4" s="20" t="s">
        <v>6</v>
      </c>
      <c r="G4" s="20" t="s">
        <v>7</v>
      </c>
      <c r="H4" s="23" t="s">
        <v>8</v>
      </c>
      <c r="I4" s="23" t="s">
        <v>8</v>
      </c>
      <c r="J4" s="20" t="s">
        <v>9</v>
      </c>
      <c r="K4" s="24" t="s">
        <v>10</v>
      </c>
      <c r="L4" s="20" t="s">
        <v>11</v>
      </c>
      <c r="M4" s="25" t="s">
        <v>12</v>
      </c>
      <c r="N4" s="26" t="s">
        <v>13</v>
      </c>
      <c r="O4" s="27"/>
      <c r="P4" s="27"/>
      <c r="Q4" s="27"/>
      <c r="R4" s="29" t="s">
        <v>14</v>
      </c>
      <c r="S4" s="30"/>
      <c r="T4" s="30"/>
      <c r="U4" s="30"/>
      <c r="V4" s="30"/>
      <c r="W4" s="31"/>
      <c r="X4" s="32" t="s">
        <v>15</v>
      </c>
      <c r="Y4" s="33"/>
      <c r="Z4" s="34" t="s">
        <v>16</v>
      </c>
      <c r="AA4" s="35"/>
      <c r="AB4" s="36"/>
      <c r="AC4" s="32" t="s">
        <v>17</v>
      </c>
      <c r="AD4" s="33"/>
      <c r="AE4" s="32" t="s">
        <v>18</v>
      </c>
      <c r="AF4" s="33"/>
      <c r="AG4" s="32" t="s">
        <v>19</v>
      </c>
      <c r="AH4" s="33"/>
      <c r="AI4" s="32" t="s">
        <v>20</v>
      </c>
      <c r="AJ4" s="33"/>
      <c r="AK4" s="37" t="s">
        <v>21</v>
      </c>
      <c r="AL4" s="38"/>
      <c r="AM4" s="32" t="s">
        <v>22</v>
      </c>
      <c r="AN4" s="33"/>
      <c r="AO4" s="32" t="s">
        <v>23</v>
      </c>
      <c r="AP4" s="33"/>
      <c r="AQ4" s="32" t="s">
        <v>24</v>
      </c>
      <c r="AR4" s="33"/>
      <c r="AS4" s="32" t="s">
        <v>25</v>
      </c>
      <c r="AT4" s="33"/>
      <c r="AU4" s="39" t="s">
        <v>26</v>
      </c>
      <c r="AV4" s="40" t="s">
        <v>27</v>
      </c>
      <c r="AW4" s="39" t="s">
        <v>28</v>
      </c>
      <c r="AX4" s="41" t="s">
        <v>29</v>
      </c>
      <c r="AY4" s="42"/>
      <c r="AZ4" s="26" t="s">
        <v>30</v>
      </c>
      <c r="BA4" s="28"/>
      <c r="BB4" s="43" t="s">
        <v>31</v>
      </c>
      <c r="BC4" s="44" t="s">
        <v>32</v>
      </c>
      <c r="BD4" s="47" t="s">
        <v>33</v>
      </c>
      <c r="BE4" s="48" t="s">
        <v>34</v>
      </c>
      <c r="BF4" s="48" t="s">
        <v>35</v>
      </c>
      <c r="BG4" s="48" t="s">
        <v>36</v>
      </c>
      <c r="BH4" s="45" t="s">
        <v>37</v>
      </c>
      <c r="BI4" s="49"/>
      <c r="BJ4" s="50" t="s">
        <v>38</v>
      </c>
      <c r="BK4" s="49"/>
      <c r="BL4" s="50" t="s">
        <v>39</v>
      </c>
      <c r="BM4" s="49"/>
      <c r="BN4" s="50" t="s">
        <v>40</v>
      </c>
      <c r="BO4" s="49"/>
      <c r="BP4" s="50" t="s">
        <v>41</v>
      </c>
      <c r="BQ4" s="49"/>
      <c r="BR4" s="50" t="s">
        <v>42</v>
      </c>
      <c r="BS4" s="46"/>
      <c r="BT4" s="45" t="s">
        <v>43</v>
      </c>
      <c r="BU4" s="49"/>
      <c r="BV4" s="50" t="s">
        <v>44</v>
      </c>
      <c r="BW4" s="49"/>
      <c r="BX4" s="50" t="s">
        <v>45</v>
      </c>
      <c r="BY4" s="49"/>
      <c r="BZ4" s="50" t="s">
        <v>46</v>
      </c>
      <c r="CA4" s="46"/>
    </row>
    <row r="5" spans="1:79" ht="29.25" customHeight="1" thickBot="1">
      <c r="A5" s="51"/>
      <c r="B5" s="52"/>
      <c r="C5" s="52"/>
      <c r="D5" s="53"/>
      <c r="E5" s="54"/>
      <c r="F5" s="52"/>
      <c r="G5" s="52"/>
      <c r="H5" s="55" t="s">
        <v>47</v>
      </c>
      <c r="I5" s="55" t="s">
        <v>48</v>
      </c>
      <c r="J5" s="52"/>
      <c r="K5" s="56"/>
      <c r="L5" s="52"/>
      <c r="M5" s="57"/>
      <c r="N5" s="58" t="s">
        <v>49</v>
      </c>
      <c r="O5" s="59"/>
      <c r="P5" s="58" t="s">
        <v>50</v>
      </c>
      <c r="Q5" s="59"/>
      <c r="R5" s="60" t="s">
        <v>51</v>
      </c>
      <c r="S5" s="61"/>
      <c r="T5" s="60" t="s">
        <v>52</v>
      </c>
      <c r="U5" s="61"/>
      <c r="V5" s="30" t="s">
        <v>53</v>
      </c>
      <c r="W5" s="31"/>
      <c r="X5" s="62"/>
      <c r="Y5" s="63"/>
      <c r="Z5" s="64"/>
      <c r="AA5" s="65"/>
      <c r="AB5" s="66"/>
      <c r="AC5" s="62"/>
      <c r="AD5" s="63"/>
      <c r="AE5" s="62"/>
      <c r="AF5" s="63"/>
      <c r="AG5" s="62"/>
      <c r="AH5" s="63"/>
      <c r="AI5" s="62"/>
      <c r="AJ5" s="63"/>
      <c r="AK5" s="67"/>
      <c r="AL5" s="68"/>
      <c r="AM5" s="62"/>
      <c r="AN5" s="63"/>
      <c r="AO5" s="62"/>
      <c r="AP5" s="63"/>
      <c r="AQ5" s="62"/>
      <c r="AR5" s="63"/>
      <c r="AS5" s="62"/>
      <c r="AT5" s="63"/>
      <c r="AU5" s="69"/>
      <c r="AV5" s="70"/>
      <c r="AW5" s="71"/>
      <c r="AX5" s="72"/>
      <c r="AY5" s="73"/>
      <c r="AZ5" s="74"/>
      <c r="BA5" s="75"/>
      <c r="BB5" s="76"/>
      <c r="BC5" s="77"/>
      <c r="BD5" s="80"/>
      <c r="BE5" s="81"/>
      <c r="BF5" s="81"/>
      <c r="BG5" s="81"/>
      <c r="BH5" s="78"/>
      <c r="BI5" s="82"/>
      <c r="BJ5" s="83"/>
      <c r="BK5" s="82"/>
      <c r="BL5" s="83"/>
      <c r="BM5" s="82"/>
      <c r="BN5" s="83"/>
      <c r="BO5" s="82"/>
      <c r="BP5" s="83"/>
      <c r="BQ5" s="82"/>
      <c r="BR5" s="83"/>
      <c r="BS5" s="79"/>
      <c r="BT5" s="78"/>
      <c r="BU5" s="82"/>
      <c r="BV5" s="83"/>
      <c r="BW5" s="82"/>
      <c r="BX5" s="83"/>
      <c r="BY5" s="82"/>
      <c r="BZ5" s="83"/>
      <c r="CA5" s="79"/>
    </row>
    <row r="6" spans="1:79" ht="16.5" thickBot="1">
      <c r="A6" s="84"/>
      <c r="B6" s="85"/>
      <c r="C6" s="85"/>
      <c r="D6" s="86"/>
      <c r="E6" s="87"/>
      <c r="F6" s="85"/>
      <c r="G6" s="85"/>
      <c r="H6" s="85"/>
      <c r="I6" s="85"/>
      <c r="J6" s="85"/>
      <c r="K6" s="85"/>
      <c r="L6" s="85"/>
      <c r="M6" s="88"/>
      <c r="N6" s="89" t="s">
        <v>55</v>
      </c>
      <c r="O6" s="86" t="s">
        <v>56</v>
      </c>
      <c r="P6" s="89" t="s">
        <v>55</v>
      </c>
      <c r="Q6" s="86" t="s">
        <v>56</v>
      </c>
      <c r="R6" s="91" t="s">
        <v>57</v>
      </c>
      <c r="S6" s="90" t="s">
        <v>56</v>
      </c>
      <c r="T6" s="91" t="s">
        <v>58</v>
      </c>
      <c r="U6" s="90" t="s">
        <v>54</v>
      </c>
      <c r="V6" s="92" t="s">
        <v>57</v>
      </c>
      <c r="W6" s="93" t="s">
        <v>54</v>
      </c>
      <c r="X6" s="94" t="s">
        <v>59</v>
      </c>
      <c r="Y6" s="93" t="s">
        <v>54</v>
      </c>
      <c r="Z6" s="95" t="s">
        <v>55</v>
      </c>
      <c r="AA6" s="96"/>
      <c r="AB6" s="93" t="s">
        <v>56</v>
      </c>
      <c r="AC6" s="95" t="s">
        <v>55</v>
      </c>
      <c r="AD6" s="93" t="s">
        <v>56</v>
      </c>
      <c r="AE6" s="95" t="s">
        <v>55</v>
      </c>
      <c r="AF6" s="93" t="s">
        <v>56</v>
      </c>
      <c r="AG6" s="95" t="s">
        <v>55</v>
      </c>
      <c r="AH6" s="97" t="s">
        <v>56</v>
      </c>
      <c r="AI6" s="95" t="s">
        <v>57</v>
      </c>
      <c r="AJ6" s="93" t="s">
        <v>56</v>
      </c>
      <c r="AK6" s="95" t="s">
        <v>55</v>
      </c>
      <c r="AL6" s="97" t="s">
        <v>56</v>
      </c>
      <c r="AM6" s="95" t="s">
        <v>57</v>
      </c>
      <c r="AN6" s="97" t="s">
        <v>56</v>
      </c>
      <c r="AO6" s="98" t="s">
        <v>57</v>
      </c>
      <c r="AP6" s="99" t="s">
        <v>56</v>
      </c>
      <c r="AQ6" s="95" t="s">
        <v>57</v>
      </c>
      <c r="AR6" s="97" t="s">
        <v>56</v>
      </c>
      <c r="AS6" s="95" t="s">
        <v>55</v>
      </c>
      <c r="AT6" s="97" t="s">
        <v>56</v>
      </c>
      <c r="AU6" s="100" t="s">
        <v>54</v>
      </c>
      <c r="AV6" s="101" t="s">
        <v>54</v>
      </c>
      <c r="AW6" s="102" t="s">
        <v>54</v>
      </c>
      <c r="AX6" s="102" t="s">
        <v>57</v>
      </c>
      <c r="AY6" s="102" t="s">
        <v>54</v>
      </c>
      <c r="AZ6" s="91" t="s">
        <v>57</v>
      </c>
      <c r="BA6" s="90" t="s">
        <v>56</v>
      </c>
      <c r="BB6" s="103" t="s">
        <v>54</v>
      </c>
      <c r="BC6" s="92" t="s">
        <v>54</v>
      </c>
      <c r="BD6" s="103" t="s">
        <v>54</v>
      </c>
      <c r="BE6" s="103" t="s">
        <v>54</v>
      </c>
      <c r="BF6" s="104" t="s">
        <v>54</v>
      </c>
      <c r="BG6" s="104" t="s">
        <v>54</v>
      </c>
      <c r="BH6" s="105" t="s">
        <v>60</v>
      </c>
      <c r="BI6" s="106" t="s">
        <v>54</v>
      </c>
      <c r="BJ6" s="105" t="s">
        <v>60</v>
      </c>
      <c r="BK6" s="107" t="s">
        <v>54</v>
      </c>
      <c r="BL6" s="106" t="s">
        <v>60</v>
      </c>
      <c r="BM6" s="106" t="s">
        <v>54</v>
      </c>
      <c r="BN6" s="105" t="s">
        <v>60</v>
      </c>
      <c r="BO6" s="107" t="s">
        <v>54</v>
      </c>
      <c r="BP6" s="106" t="s">
        <v>57</v>
      </c>
      <c r="BQ6" s="106" t="s">
        <v>54</v>
      </c>
      <c r="BR6" s="105" t="s">
        <v>57</v>
      </c>
      <c r="BS6" s="107" t="s">
        <v>56</v>
      </c>
      <c r="BT6" s="105" t="s">
        <v>60</v>
      </c>
      <c r="BU6" s="106" t="s">
        <v>56</v>
      </c>
      <c r="BV6" s="105" t="s">
        <v>57</v>
      </c>
      <c r="BW6" s="107" t="s">
        <v>56</v>
      </c>
      <c r="BX6" s="106" t="s">
        <v>57</v>
      </c>
      <c r="BY6" s="106" t="s">
        <v>56</v>
      </c>
      <c r="BZ6" s="105" t="s">
        <v>57</v>
      </c>
      <c r="CA6" s="107" t="s">
        <v>56</v>
      </c>
    </row>
    <row r="7" spans="1:79" ht="16.5" thickBot="1">
      <c r="A7" s="108"/>
      <c r="B7" s="109"/>
      <c r="C7" s="109"/>
      <c r="D7" s="110"/>
      <c r="E7" s="111"/>
      <c r="F7" s="112"/>
      <c r="G7" s="112"/>
      <c r="H7" s="112"/>
      <c r="I7" s="112"/>
      <c r="J7" s="112"/>
      <c r="K7" s="113"/>
      <c r="L7" s="114"/>
      <c r="M7" s="115"/>
      <c r="N7" s="117"/>
      <c r="O7" s="116"/>
      <c r="P7" s="117"/>
      <c r="Q7" s="116"/>
      <c r="R7" s="119"/>
      <c r="S7" s="118"/>
      <c r="T7" s="119"/>
      <c r="U7" s="118"/>
      <c r="V7" s="120"/>
      <c r="W7" s="121"/>
      <c r="X7" s="122"/>
      <c r="Y7" s="122"/>
      <c r="Z7" s="123"/>
      <c r="AA7" s="124"/>
      <c r="AB7" s="121"/>
      <c r="AC7" s="123"/>
      <c r="AD7" s="121"/>
      <c r="AE7" s="123"/>
      <c r="AF7" s="121"/>
      <c r="AG7" s="123"/>
      <c r="AH7" s="125"/>
      <c r="AI7" s="123"/>
      <c r="AJ7" s="121"/>
      <c r="AK7" s="123"/>
      <c r="AL7" s="125"/>
      <c r="AM7" s="123"/>
      <c r="AN7" s="125"/>
      <c r="AO7" s="123"/>
      <c r="AP7" s="125"/>
      <c r="AQ7" s="123"/>
      <c r="AR7" s="125"/>
      <c r="AS7" s="123"/>
      <c r="AT7" s="125"/>
      <c r="AU7" s="122"/>
      <c r="AV7" s="126"/>
      <c r="AW7" s="127"/>
      <c r="AX7" s="127"/>
      <c r="AY7" s="127"/>
      <c r="AZ7" s="119"/>
      <c r="BA7" s="118"/>
      <c r="BB7" s="128"/>
      <c r="BC7" s="129"/>
      <c r="BD7" s="130"/>
      <c r="BE7" s="131">
        <f t="shared" ref="BE7:BE70" si="0">BI7+BK7+BM7+BO7+BQ7+BS7</f>
        <v>0</v>
      </c>
      <c r="BF7" s="127"/>
      <c r="BG7" s="127"/>
      <c r="BH7" s="117"/>
      <c r="BI7" s="129"/>
      <c r="BJ7" s="129"/>
      <c r="BK7" s="129"/>
      <c r="BL7" s="129"/>
      <c r="BM7" s="129"/>
      <c r="BN7" s="129"/>
      <c r="BO7" s="129"/>
      <c r="BP7" s="129"/>
      <c r="BQ7" s="129"/>
      <c r="BR7" s="126"/>
      <c r="BS7" s="126"/>
      <c r="BT7" s="117"/>
      <c r="BU7" s="129"/>
      <c r="BV7" s="129"/>
      <c r="BW7" s="129"/>
      <c r="BX7" s="129"/>
      <c r="BY7" s="129"/>
      <c r="BZ7" s="129"/>
      <c r="CA7" s="126"/>
    </row>
    <row r="8" spans="1:79">
      <c r="A8" s="132"/>
      <c r="B8" s="133" t="s">
        <v>61</v>
      </c>
      <c r="C8" s="134"/>
      <c r="D8" s="135"/>
      <c r="E8" s="136"/>
      <c r="F8" s="137"/>
      <c r="G8" s="137"/>
      <c r="H8" s="137"/>
      <c r="I8" s="137"/>
      <c r="J8" s="137"/>
      <c r="K8" s="138"/>
      <c r="L8" s="139"/>
      <c r="M8" s="140"/>
      <c r="N8" s="141"/>
      <c r="O8" s="142"/>
      <c r="P8" s="142">
        <f>0.005+0.016</f>
        <v>2.1000000000000001E-2</v>
      </c>
      <c r="Q8" s="142">
        <f>0.683+2.185</f>
        <v>2.8680000000000003</v>
      </c>
      <c r="R8" s="144"/>
      <c r="S8" s="145"/>
      <c r="T8" s="145"/>
      <c r="U8" s="145"/>
      <c r="V8" s="145"/>
      <c r="W8" s="143"/>
      <c r="X8" s="144"/>
      <c r="Y8" s="143"/>
      <c r="Z8" s="144"/>
      <c r="AA8" s="146"/>
      <c r="AB8" s="143"/>
      <c r="AC8" s="144"/>
      <c r="AD8" s="143"/>
      <c r="AE8" s="144"/>
      <c r="AF8" s="143"/>
      <c r="AG8" s="144"/>
      <c r="AH8" s="143"/>
      <c r="AI8" s="144">
        <v>3</v>
      </c>
      <c r="AJ8" s="145">
        <v>1.9802939999999998</v>
      </c>
      <c r="AK8" s="144"/>
      <c r="AL8" s="143"/>
      <c r="AM8" s="144"/>
      <c r="AN8" s="143"/>
      <c r="AO8" s="144"/>
      <c r="AP8" s="143"/>
      <c r="AQ8" s="147">
        <v>3</v>
      </c>
      <c r="AR8" s="148">
        <v>2.6387099999999997</v>
      </c>
      <c r="AS8" s="144"/>
      <c r="AT8" s="143"/>
      <c r="AU8" s="144"/>
      <c r="AV8" s="149"/>
      <c r="AW8" s="150"/>
      <c r="AX8" s="150"/>
      <c r="AY8" s="150"/>
      <c r="AZ8" s="144">
        <v>2</v>
      </c>
      <c r="BA8" s="143">
        <f>8.346+15.587</f>
        <v>23.933</v>
      </c>
      <c r="BB8" s="151"/>
      <c r="BC8" s="152">
        <v>0.462060256</v>
      </c>
      <c r="BD8" s="153">
        <f>O8+Q8++S8+U8+W8+Y8+AB8+AD8+AF8+AH8+AJ8+AL8+AN8+AP8+AR8+AT8+AU8+AV8+AW8+AY8+BA8+BB8+BC8+BE8+BF8+BG8</f>
        <v>66.686652324199997</v>
      </c>
      <c r="BE8" s="154">
        <f>BI8+BK8+BM8+BO8+BQ8+BS8</f>
        <v>13.4575880682</v>
      </c>
      <c r="BF8" s="155">
        <f t="shared" ref="BF8:BF71" si="1">BU8+BW8+BY8+CA8</f>
        <v>11.061999999999999</v>
      </c>
      <c r="BG8" s="149">
        <f>CA8</f>
        <v>10.285</v>
      </c>
      <c r="BH8" s="141"/>
      <c r="BI8" s="142"/>
      <c r="BJ8" s="142"/>
      <c r="BK8" s="142"/>
      <c r="BL8" s="142">
        <v>1E-3</v>
      </c>
      <c r="BM8" s="142">
        <v>0.86858806820000001</v>
      </c>
      <c r="BN8" s="142">
        <v>1E-3</v>
      </c>
      <c r="BO8" s="142">
        <v>1.032</v>
      </c>
      <c r="BP8" s="156"/>
      <c r="BQ8" s="142"/>
      <c r="BR8" s="157">
        <v>11</v>
      </c>
      <c r="BS8" s="158">
        <v>11.557</v>
      </c>
      <c r="BT8" s="141"/>
      <c r="BU8" s="142"/>
      <c r="BV8" s="142">
        <v>3</v>
      </c>
      <c r="BW8" s="142">
        <v>0.77700000000000002</v>
      </c>
      <c r="BX8" s="159"/>
      <c r="BY8" s="142"/>
      <c r="BZ8" s="142">
        <v>58</v>
      </c>
      <c r="CA8" s="149">
        <v>10.285</v>
      </c>
    </row>
    <row r="9" spans="1:79">
      <c r="A9" s="132"/>
      <c r="B9" s="160" t="s">
        <v>62</v>
      </c>
      <c r="C9" s="134"/>
      <c r="D9" s="135"/>
      <c r="E9" s="136"/>
      <c r="F9" s="137"/>
      <c r="G9" s="137"/>
      <c r="H9" s="137"/>
      <c r="I9" s="137"/>
      <c r="J9" s="137"/>
      <c r="K9" s="138"/>
      <c r="L9" s="139"/>
      <c r="M9" s="140"/>
      <c r="N9" s="154"/>
      <c r="O9" s="155"/>
      <c r="P9" s="155"/>
      <c r="Q9" s="155"/>
      <c r="R9" s="162">
        <v>4</v>
      </c>
      <c r="S9" s="163">
        <v>0.53061241199999998</v>
      </c>
      <c r="T9" s="163"/>
      <c r="U9" s="163"/>
      <c r="V9" s="163"/>
      <c r="W9" s="161"/>
      <c r="X9" s="162"/>
      <c r="Y9" s="161"/>
      <c r="Z9" s="162">
        <v>0.94399999999999995</v>
      </c>
      <c r="AA9" s="164">
        <f>AB9-0.13359</f>
        <v>400.63321999999994</v>
      </c>
      <c r="AB9" s="161">
        <v>400.76680999999996</v>
      </c>
      <c r="AC9" s="162"/>
      <c r="AD9" s="161"/>
      <c r="AE9" s="162"/>
      <c r="AF9" s="161"/>
      <c r="AG9" s="162"/>
      <c r="AH9" s="161"/>
      <c r="AI9" s="162"/>
      <c r="AJ9" s="163"/>
      <c r="AK9" s="162"/>
      <c r="AL9" s="161"/>
      <c r="AM9" s="162"/>
      <c r="AN9" s="161"/>
      <c r="AO9" s="162"/>
      <c r="AP9" s="161"/>
      <c r="AQ9" s="165">
        <v>12</v>
      </c>
      <c r="AR9" s="166">
        <v>1.4834296</v>
      </c>
      <c r="AS9" s="162"/>
      <c r="AT9" s="161"/>
      <c r="AU9" s="162"/>
      <c r="AV9" s="167"/>
      <c r="AW9" s="168"/>
      <c r="AX9" s="168"/>
      <c r="AY9" s="168"/>
      <c r="AZ9" s="162"/>
      <c r="BA9" s="161"/>
      <c r="BB9" s="169"/>
      <c r="BC9" s="170">
        <v>4.2434494699999998</v>
      </c>
      <c r="BD9" s="153">
        <f t="shared" ref="BD9:BD72" si="2">O9+Q9++S9+U9+W9+Y9+AB9+AD9+AF9+AH9+AJ9+AL9+AN9+AP9+AR9+AT9+AU9+AV9+AW9+AY9+BA9+BB9+BC9+BE9+BF9+BG9</f>
        <v>436.20830148199991</v>
      </c>
      <c r="BE9" s="154">
        <f t="shared" si="0"/>
        <v>8.827</v>
      </c>
      <c r="BF9" s="155">
        <f t="shared" si="1"/>
        <v>13.202</v>
      </c>
      <c r="BG9" s="149">
        <f>CA9</f>
        <v>7.1550000000000002</v>
      </c>
      <c r="BH9" s="154"/>
      <c r="BI9" s="155"/>
      <c r="BJ9" s="155"/>
      <c r="BK9" s="155"/>
      <c r="BL9" s="155"/>
      <c r="BM9" s="155"/>
      <c r="BN9" s="155">
        <v>1E-3</v>
      </c>
      <c r="BO9" s="155">
        <v>0.627</v>
      </c>
      <c r="BP9" s="171"/>
      <c r="BQ9" s="155"/>
      <c r="BR9" s="155">
        <v>5</v>
      </c>
      <c r="BS9" s="167">
        <v>8.1999999999999993</v>
      </c>
      <c r="BT9" s="154">
        <v>6.0000000000000001E-3</v>
      </c>
      <c r="BU9" s="155">
        <v>1.298</v>
      </c>
      <c r="BV9" s="155">
        <v>2</v>
      </c>
      <c r="BW9" s="155">
        <v>0.48899999999999999</v>
      </c>
      <c r="BX9" s="159">
        <v>2</v>
      </c>
      <c r="BY9" s="155">
        <v>4.26</v>
      </c>
      <c r="BZ9" s="155">
        <v>29</v>
      </c>
      <c r="CA9" s="167">
        <v>7.1550000000000002</v>
      </c>
    </row>
    <row r="10" spans="1:79">
      <c r="A10" s="132"/>
      <c r="B10" s="160" t="s">
        <v>63</v>
      </c>
      <c r="C10" s="134"/>
      <c r="D10" s="135"/>
      <c r="E10" s="136"/>
      <c r="F10" s="137"/>
      <c r="G10" s="137"/>
      <c r="H10" s="137"/>
      <c r="I10" s="137"/>
      <c r="J10" s="137"/>
      <c r="K10" s="138"/>
      <c r="L10" s="139"/>
      <c r="M10" s="140"/>
      <c r="N10" s="154"/>
      <c r="O10" s="155"/>
      <c r="P10" s="155"/>
      <c r="Q10" s="155"/>
      <c r="R10" s="162"/>
      <c r="S10" s="163"/>
      <c r="T10" s="163"/>
      <c r="U10" s="163"/>
      <c r="V10" s="163"/>
      <c r="W10" s="161"/>
      <c r="X10" s="162"/>
      <c r="Y10" s="161"/>
      <c r="Z10" s="162">
        <v>3.15E-2</v>
      </c>
      <c r="AA10" s="164">
        <f t="shared" ref="AA10:AA71" si="3">AB10-0.13359</f>
        <v>4.7604680429999995</v>
      </c>
      <c r="AB10" s="161">
        <v>4.8940580429999994</v>
      </c>
      <c r="AC10" s="162"/>
      <c r="AD10" s="161"/>
      <c r="AE10" s="162"/>
      <c r="AF10" s="161"/>
      <c r="AG10" s="162"/>
      <c r="AH10" s="161"/>
      <c r="AI10" s="162"/>
      <c r="AJ10" s="163"/>
      <c r="AK10" s="162"/>
      <c r="AL10" s="161"/>
      <c r="AM10" s="162"/>
      <c r="AN10" s="161"/>
      <c r="AO10" s="162"/>
      <c r="AP10" s="161"/>
      <c r="AQ10" s="165"/>
      <c r="AR10" s="166"/>
      <c r="AS10" s="162"/>
      <c r="AT10" s="161"/>
      <c r="AU10" s="162"/>
      <c r="AV10" s="167"/>
      <c r="AW10" s="168"/>
      <c r="AX10" s="168"/>
      <c r="AY10" s="168"/>
      <c r="AZ10" s="162"/>
      <c r="BA10" s="161"/>
      <c r="BB10" s="169"/>
      <c r="BC10" s="170"/>
      <c r="BD10" s="153">
        <f t="shared" si="2"/>
        <v>27.934058043</v>
      </c>
      <c r="BE10" s="154">
        <f t="shared" si="0"/>
        <v>3.5049999999999999</v>
      </c>
      <c r="BF10" s="155">
        <f t="shared" si="1"/>
        <v>14.632999999999999</v>
      </c>
      <c r="BG10" s="149">
        <f t="shared" ref="BG10:BG73" si="4">CA10</f>
        <v>4.9020000000000001</v>
      </c>
      <c r="BH10" s="154"/>
      <c r="BI10" s="155"/>
      <c r="BJ10" s="155"/>
      <c r="BK10" s="155"/>
      <c r="BL10" s="155"/>
      <c r="BM10" s="155"/>
      <c r="BN10" s="155"/>
      <c r="BO10" s="155"/>
      <c r="BP10" s="171"/>
      <c r="BQ10" s="155"/>
      <c r="BR10" s="155">
        <v>3</v>
      </c>
      <c r="BS10" s="167">
        <v>3.5049999999999999</v>
      </c>
      <c r="BT10" s="154">
        <v>3.5000000000000003E-2</v>
      </c>
      <c r="BU10" s="155">
        <v>9.0060000000000002</v>
      </c>
      <c r="BV10" s="155">
        <v>3</v>
      </c>
      <c r="BW10" s="155">
        <v>0.72499999999999998</v>
      </c>
      <c r="BX10" s="159"/>
      <c r="BY10" s="155"/>
      <c r="BZ10" s="155">
        <v>19</v>
      </c>
      <c r="CA10" s="167">
        <v>4.9020000000000001</v>
      </c>
    </row>
    <row r="11" spans="1:79">
      <c r="A11" s="132"/>
      <c r="B11" s="160" t="s">
        <v>64</v>
      </c>
      <c r="C11" s="134"/>
      <c r="D11" s="135"/>
      <c r="E11" s="136"/>
      <c r="F11" s="137"/>
      <c r="G11" s="137"/>
      <c r="H11" s="137"/>
      <c r="I11" s="137"/>
      <c r="J11" s="137"/>
      <c r="K11" s="138"/>
      <c r="L11" s="139"/>
      <c r="M11" s="140"/>
      <c r="N11" s="154">
        <v>0.11</v>
      </c>
      <c r="O11" s="155">
        <v>99.363190000000003</v>
      </c>
      <c r="P11" s="155"/>
      <c r="Q11" s="155"/>
      <c r="R11" s="162">
        <v>2</v>
      </c>
      <c r="S11" s="163">
        <v>0.19190014999999999</v>
      </c>
      <c r="T11" s="163"/>
      <c r="U11" s="163"/>
      <c r="V11" s="163"/>
      <c r="W11" s="161"/>
      <c r="X11" s="162"/>
      <c r="Y11" s="161"/>
      <c r="Z11" s="162"/>
      <c r="AA11" s="164"/>
      <c r="AB11" s="161"/>
      <c r="AC11" s="162"/>
      <c r="AD11" s="161"/>
      <c r="AE11" s="162"/>
      <c r="AF11" s="161"/>
      <c r="AG11" s="162"/>
      <c r="AH11" s="161"/>
      <c r="AI11" s="162"/>
      <c r="AJ11" s="163"/>
      <c r="AK11" s="162"/>
      <c r="AL11" s="161"/>
      <c r="AM11" s="162"/>
      <c r="AN11" s="161"/>
      <c r="AO11" s="162"/>
      <c r="AP11" s="161"/>
      <c r="AQ11" s="165"/>
      <c r="AR11" s="166"/>
      <c r="AS11" s="162"/>
      <c r="AT11" s="161"/>
      <c r="AU11" s="162"/>
      <c r="AV11" s="167"/>
      <c r="AW11" s="168"/>
      <c r="AX11" s="168"/>
      <c r="AY11" s="168"/>
      <c r="AZ11" s="162"/>
      <c r="BA11" s="161"/>
      <c r="BB11" s="169"/>
      <c r="BC11" s="170">
        <v>0.47662315900000002</v>
      </c>
      <c r="BD11" s="153">
        <f t="shared" si="2"/>
        <v>123.23328812244999</v>
      </c>
      <c r="BE11" s="154">
        <f t="shared" si="0"/>
        <v>8.0415748134500014</v>
      </c>
      <c r="BF11" s="155">
        <f t="shared" si="1"/>
        <v>12.205</v>
      </c>
      <c r="BG11" s="149">
        <f t="shared" si="4"/>
        <v>2.9550000000000001</v>
      </c>
      <c r="BH11" s="154"/>
      <c r="BI11" s="155"/>
      <c r="BJ11" s="155"/>
      <c r="BK11" s="155"/>
      <c r="BL11" s="155">
        <v>3.5000000000000001E-3</v>
      </c>
      <c r="BM11" s="155">
        <v>2.7805748134500003</v>
      </c>
      <c r="BN11" s="155"/>
      <c r="BO11" s="155"/>
      <c r="BP11" s="171"/>
      <c r="BQ11" s="155"/>
      <c r="BR11" s="155">
        <v>7</v>
      </c>
      <c r="BS11" s="167">
        <v>5.2610000000000001</v>
      </c>
      <c r="BT11" s="154">
        <v>3.5000000000000003E-2</v>
      </c>
      <c r="BU11" s="155">
        <v>9.0060000000000002</v>
      </c>
      <c r="BV11" s="155">
        <v>1</v>
      </c>
      <c r="BW11" s="155">
        <v>0.24399999999999999</v>
      </c>
      <c r="BX11" s="159"/>
      <c r="BY11" s="155"/>
      <c r="BZ11" s="155">
        <v>23</v>
      </c>
      <c r="CA11" s="167">
        <v>2.9550000000000001</v>
      </c>
    </row>
    <row r="12" spans="1:79">
      <c r="A12" s="132"/>
      <c r="B12" s="160" t="s">
        <v>65</v>
      </c>
      <c r="C12" s="134"/>
      <c r="D12" s="135"/>
      <c r="E12" s="136"/>
      <c r="F12" s="137"/>
      <c r="G12" s="137"/>
      <c r="H12" s="137"/>
      <c r="I12" s="137"/>
      <c r="J12" s="137"/>
      <c r="K12" s="138"/>
      <c r="L12" s="139"/>
      <c r="M12" s="140"/>
      <c r="N12" s="154"/>
      <c r="O12" s="155"/>
      <c r="P12" s="155"/>
      <c r="Q12" s="155"/>
      <c r="R12" s="162">
        <v>1</v>
      </c>
      <c r="S12" s="163">
        <v>0.34080464599999999</v>
      </c>
      <c r="T12" s="163"/>
      <c r="U12" s="163"/>
      <c r="V12" s="163"/>
      <c r="W12" s="161"/>
      <c r="X12" s="162"/>
      <c r="Y12" s="161"/>
      <c r="Z12" s="162"/>
      <c r="AA12" s="164"/>
      <c r="AB12" s="161"/>
      <c r="AC12" s="162"/>
      <c r="AD12" s="161"/>
      <c r="AE12" s="162"/>
      <c r="AF12" s="161"/>
      <c r="AG12" s="162"/>
      <c r="AH12" s="161"/>
      <c r="AI12" s="162">
        <v>3</v>
      </c>
      <c r="AJ12" s="163">
        <v>1.8796987869999999</v>
      </c>
      <c r="AK12" s="162">
        <v>2E-3</v>
      </c>
      <c r="AL12" s="161">
        <v>0.77668571419999999</v>
      </c>
      <c r="AM12" s="162"/>
      <c r="AN12" s="161"/>
      <c r="AO12" s="162"/>
      <c r="AP12" s="161"/>
      <c r="AQ12" s="165"/>
      <c r="AR12" s="166"/>
      <c r="AS12" s="162"/>
      <c r="AT12" s="161"/>
      <c r="AU12" s="162"/>
      <c r="AV12" s="167"/>
      <c r="AW12" s="168"/>
      <c r="AX12" s="168"/>
      <c r="AY12" s="168"/>
      <c r="AZ12" s="162"/>
      <c r="BA12" s="161"/>
      <c r="BB12" s="169"/>
      <c r="BC12" s="170"/>
      <c r="BD12" s="153">
        <f t="shared" si="2"/>
        <v>13.8461891472</v>
      </c>
      <c r="BE12" s="154">
        <f t="shared" si="0"/>
        <v>7.2380000000000004</v>
      </c>
      <c r="BF12" s="155">
        <f t="shared" si="1"/>
        <v>1.968</v>
      </c>
      <c r="BG12" s="149">
        <f t="shared" si="4"/>
        <v>1.643</v>
      </c>
      <c r="BH12" s="154"/>
      <c r="BI12" s="155"/>
      <c r="BJ12" s="155"/>
      <c r="BK12" s="155"/>
      <c r="BL12" s="155"/>
      <c r="BM12" s="155"/>
      <c r="BN12" s="155"/>
      <c r="BO12" s="155"/>
      <c r="BP12" s="171"/>
      <c r="BQ12" s="155"/>
      <c r="BR12" s="155">
        <v>8</v>
      </c>
      <c r="BS12" s="167">
        <v>7.2380000000000004</v>
      </c>
      <c r="BT12" s="154"/>
      <c r="BU12" s="155"/>
      <c r="BV12" s="155">
        <v>2</v>
      </c>
      <c r="BW12" s="155">
        <v>0.32500000000000001</v>
      </c>
      <c r="BX12" s="159"/>
      <c r="BY12" s="155"/>
      <c r="BZ12" s="155">
        <v>13</v>
      </c>
      <c r="CA12" s="167">
        <v>1.643</v>
      </c>
    </row>
    <row r="13" spans="1:79">
      <c r="A13" s="132"/>
      <c r="B13" s="160" t="s">
        <v>66</v>
      </c>
      <c r="C13" s="134"/>
      <c r="D13" s="135"/>
      <c r="E13" s="136"/>
      <c r="F13" s="137"/>
      <c r="G13" s="137"/>
      <c r="H13" s="137"/>
      <c r="I13" s="137"/>
      <c r="J13" s="137"/>
      <c r="K13" s="138"/>
      <c r="L13" s="139"/>
      <c r="M13" s="140"/>
      <c r="N13" s="154">
        <f>0.009+0.005+0.03</f>
        <v>4.3999999999999997E-2</v>
      </c>
      <c r="O13" s="155">
        <f>18.964+15.548+0.976</f>
        <v>35.488</v>
      </c>
      <c r="P13" s="155"/>
      <c r="Q13" s="155"/>
      <c r="R13" s="162"/>
      <c r="S13" s="163"/>
      <c r="T13" s="163">
        <v>26</v>
      </c>
      <c r="U13" s="163">
        <v>13.360340369999999</v>
      </c>
      <c r="V13" s="163"/>
      <c r="W13" s="161"/>
      <c r="X13" s="162"/>
      <c r="Y13" s="161"/>
      <c r="Z13" s="162">
        <v>2.8699999999999996E-2</v>
      </c>
      <c r="AA13" s="164">
        <f t="shared" si="3"/>
        <v>19.872129999999999</v>
      </c>
      <c r="AB13" s="161">
        <v>20.00572</v>
      </c>
      <c r="AC13" s="162"/>
      <c r="AD13" s="161"/>
      <c r="AE13" s="162"/>
      <c r="AF13" s="161"/>
      <c r="AG13" s="162"/>
      <c r="AH13" s="161"/>
      <c r="AI13" s="162">
        <v>15</v>
      </c>
      <c r="AJ13" s="163">
        <v>7.0556563079999997</v>
      </c>
      <c r="AK13" s="162"/>
      <c r="AL13" s="161"/>
      <c r="AM13" s="162">
        <v>3</v>
      </c>
      <c r="AN13" s="161">
        <v>7.3743020329999993</v>
      </c>
      <c r="AO13" s="162"/>
      <c r="AP13" s="161"/>
      <c r="AQ13" s="165">
        <v>5</v>
      </c>
      <c r="AR13" s="166">
        <v>5.1925082576923076</v>
      </c>
      <c r="AS13" s="162">
        <v>5.0000000000000001E-3</v>
      </c>
      <c r="AT13" s="161">
        <v>8.7400199999999995</v>
      </c>
      <c r="AU13" s="162"/>
      <c r="AV13" s="167"/>
      <c r="AW13" s="168"/>
      <c r="AX13" s="168"/>
      <c r="AY13" s="168"/>
      <c r="AZ13" s="162"/>
      <c r="BA13" s="161"/>
      <c r="BB13" s="169"/>
      <c r="BC13" s="170">
        <v>10.558</v>
      </c>
      <c r="BD13" s="153">
        <f t="shared" si="2"/>
        <v>188.03254696869232</v>
      </c>
      <c r="BE13" s="154">
        <f t="shared" si="0"/>
        <v>14.9</v>
      </c>
      <c r="BF13" s="155">
        <f t="shared" si="1"/>
        <v>48.191000000000003</v>
      </c>
      <c r="BG13" s="149">
        <f t="shared" si="4"/>
        <v>17.167000000000002</v>
      </c>
      <c r="BH13" s="154"/>
      <c r="BI13" s="155"/>
      <c r="BJ13" s="155"/>
      <c r="BK13" s="155"/>
      <c r="BL13" s="155"/>
      <c r="BM13" s="155"/>
      <c r="BN13" s="155">
        <v>2E-3</v>
      </c>
      <c r="BO13" s="155">
        <v>1.302</v>
      </c>
      <c r="BP13" s="171"/>
      <c r="BQ13" s="155"/>
      <c r="BR13" s="155">
        <v>12</v>
      </c>
      <c r="BS13" s="167">
        <v>13.598000000000001</v>
      </c>
      <c r="BT13" s="154">
        <v>0.13600000000000001</v>
      </c>
      <c r="BU13" s="155">
        <v>29.984000000000002</v>
      </c>
      <c r="BV13" s="155">
        <v>4</v>
      </c>
      <c r="BW13" s="155">
        <v>1.04</v>
      </c>
      <c r="BX13" s="159"/>
      <c r="BY13" s="155"/>
      <c r="BZ13" s="155">
        <v>93</v>
      </c>
      <c r="CA13" s="167">
        <v>17.167000000000002</v>
      </c>
    </row>
    <row r="14" spans="1:79">
      <c r="A14" s="132"/>
      <c r="B14" s="160" t="s">
        <v>67</v>
      </c>
      <c r="C14" s="134"/>
      <c r="D14" s="135"/>
      <c r="E14" s="136"/>
      <c r="F14" s="137"/>
      <c r="G14" s="137"/>
      <c r="H14" s="137"/>
      <c r="I14" s="137"/>
      <c r="J14" s="137"/>
      <c r="K14" s="138"/>
      <c r="L14" s="139"/>
      <c r="M14" s="140"/>
      <c r="N14" s="154"/>
      <c r="O14" s="155"/>
      <c r="P14" s="155"/>
      <c r="Q14" s="155"/>
      <c r="R14" s="162">
        <v>5</v>
      </c>
      <c r="S14" s="163">
        <v>0.66326551499999997</v>
      </c>
      <c r="T14" s="163">
        <v>22</v>
      </c>
      <c r="U14" s="163">
        <v>11.30490339</v>
      </c>
      <c r="V14" s="163"/>
      <c r="W14" s="161"/>
      <c r="X14" s="162"/>
      <c r="Y14" s="161"/>
      <c r="Z14" s="162">
        <v>2.4E-2</v>
      </c>
      <c r="AA14" s="164">
        <f t="shared" si="3"/>
        <v>7.2365455319999992</v>
      </c>
      <c r="AB14" s="161">
        <v>7.370135531999999</v>
      </c>
      <c r="AC14" s="162"/>
      <c r="AD14" s="161"/>
      <c r="AE14" s="162"/>
      <c r="AF14" s="161"/>
      <c r="AG14" s="162"/>
      <c r="AH14" s="161"/>
      <c r="AI14" s="162">
        <v>14</v>
      </c>
      <c r="AJ14" s="163">
        <v>5.9984103200000005</v>
      </c>
      <c r="AK14" s="162"/>
      <c r="AL14" s="161"/>
      <c r="AM14" s="162">
        <v>1</v>
      </c>
      <c r="AN14" s="161">
        <v>2.7619739999999999</v>
      </c>
      <c r="AO14" s="162"/>
      <c r="AP14" s="161"/>
      <c r="AQ14" s="165">
        <v>5</v>
      </c>
      <c r="AR14" s="166">
        <v>5.3929109419999994</v>
      </c>
      <c r="AS14" s="162"/>
      <c r="AT14" s="161"/>
      <c r="AU14" s="162"/>
      <c r="AV14" s="167"/>
      <c r="AW14" s="168"/>
      <c r="AX14" s="168"/>
      <c r="AY14" s="168"/>
      <c r="AZ14" s="162"/>
      <c r="BA14" s="161"/>
      <c r="BB14" s="169"/>
      <c r="BC14" s="170">
        <v>14.545999999999999</v>
      </c>
      <c r="BD14" s="153">
        <f t="shared" si="2"/>
        <v>96.246599699000001</v>
      </c>
      <c r="BE14" s="154">
        <f t="shared" si="0"/>
        <v>12.933999999999999</v>
      </c>
      <c r="BF14" s="155">
        <f t="shared" si="1"/>
        <v>21.591000000000001</v>
      </c>
      <c r="BG14" s="149">
        <f t="shared" si="4"/>
        <v>13.683999999999999</v>
      </c>
      <c r="BH14" s="154"/>
      <c r="BI14" s="155"/>
      <c r="BJ14" s="155"/>
      <c r="BK14" s="155"/>
      <c r="BL14" s="155"/>
      <c r="BM14" s="155"/>
      <c r="BN14" s="155"/>
      <c r="BO14" s="155"/>
      <c r="BP14" s="171"/>
      <c r="BQ14" s="155"/>
      <c r="BR14" s="155">
        <v>12</v>
      </c>
      <c r="BS14" s="167">
        <v>12.933999999999999</v>
      </c>
      <c r="BT14" s="154">
        <v>5.5E-2</v>
      </c>
      <c r="BU14" s="155">
        <v>4.38</v>
      </c>
      <c r="BV14" s="155">
        <v>2</v>
      </c>
      <c r="BW14" s="155">
        <v>0.42099999999999999</v>
      </c>
      <c r="BX14" s="159">
        <v>2</v>
      </c>
      <c r="BY14" s="155">
        <v>3.1059999999999999</v>
      </c>
      <c r="BZ14" s="155">
        <v>45</v>
      </c>
      <c r="CA14" s="167">
        <v>13.683999999999999</v>
      </c>
    </row>
    <row r="15" spans="1:79">
      <c r="A15" s="132"/>
      <c r="B15" s="160" t="s">
        <v>68</v>
      </c>
      <c r="C15" s="134"/>
      <c r="D15" s="135"/>
      <c r="E15" s="136"/>
      <c r="F15" s="137"/>
      <c r="G15" s="137"/>
      <c r="H15" s="137"/>
      <c r="I15" s="137"/>
      <c r="J15" s="137"/>
      <c r="K15" s="138"/>
      <c r="L15" s="139"/>
      <c r="M15" s="140"/>
      <c r="N15" s="154"/>
      <c r="O15" s="155"/>
      <c r="P15" s="155"/>
      <c r="Q15" s="155"/>
      <c r="R15" s="162">
        <v>4</v>
      </c>
      <c r="S15" s="163">
        <v>0.35123759999999998</v>
      </c>
      <c r="T15" s="163"/>
      <c r="U15" s="163"/>
      <c r="V15" s="163"/>
      <c r="W15" s="161"/>
      <c r="X15" s="162"/>
      <c r="Y15" s="161"/>
      <c r="Z15" s="162">
        <v>2E-3</v>
      </c>
      <c r="AA15" s="164">
        <f t="shared" si="3"/>
        <v>0.11176326000000003</v>
      </c>
      <c r="AB15" s="161">
        <v>0.24535326000000002</v>
      </c>
      <c r="AC15" s="162"/>
      <c r="AD15" s="161"/>
      <c r="AE15" s="162"/>
      <c r="AF15" s="161"/>
      <c r="AG15" s="162"/>
      <c r="AH15" s="161"/>
      <c r="AI15" s="162"/>
      <c r="AJ15" s="163"/>
      <c r="AK15" s="162"/>
      <c r="AL15" s="161"/>
      <c r="AM15" s="162">
        <v>1</v>
      </c>
      <c r="AN15" s="161">
        <v>2.0739999999999998</v>
      </c>
      <c r="AO15" s="162"/>
      <c r="AP15" s="161"/>
      <c r="AQ15" s="165">
        <v>9</v>
      </c>
      <c r="AR15" s="166">
        <v>3.5877917438032787</v>
      </c>
      <c r="AS15" s="162"/>
      <c r="AT15" s="161"/>
      <c r="AU15" s="162"/>
      <c r="AV15" s="167"/>
      <c r="AW15" s="168"/>
      <c r="AX15" s="168"/>
      <c r="AY15" s="168"/>
      <c r="AZ15" s="162"/>
      <c r="BA15" s="161"/>
      <c r="BB15" s="169"/>
      <c r="BC15" s="170">
        <v>4.2249999999999996</v>
      </c>
      <c r="BD15" s="153">
        <f t="shared" si="2"/>
        <v>145.11719134779329</v>
      </c>
      <c r="BE15" s="154">
        <f t="shared" si="0"/>
        <v>29.435808743990002</v>
      </c>
      <c r="BF15" s="155">
        <f t="shared" si="1"/>
        <v>81.707999999999998</v>
      </c>
      <c r="BG15" s="149">
        <f t="shared" si="4"/>
        <v>23.49</v>
      </c>
      <c r="BH15" s="154"/>
      <c r="BI15" s="155"/>
      <c r="BJ15" s="172">
        <v>3.5000000000000001E-3</v>
      </c>
      <c r="BK15" s="172">
        <v>2.5521449999499999</v>
      </c>
      <c r="BL15" s="155">
        <v>9.7000000000000003E-3</v>
      </c>
      <c r="BM15" s="155">
        <v>9.6776637440400002</v>
      </c>
      <c r="BN15" s="155">
        <v>1E-3</v>
      </c>
      <c r="BO15" s="155">
        <v>0.80500000000000005</v>
      </c>
      <c r="BP15" s="171"/>
      <c r="BQ15" s="155"/>
      <c r="BR15" s="155">
        <v>21</v>
      </c>
      <c r="BS15" s="167">
        <v>16.401</v>
      </c>
      <c r="BT15" s="154">
        <v>6.0999999999999999E-2</v>
      </c>
      <c r="BU15" s="155">
        <v>50.548000000000002</v>
      </c>
      <c r="BV15" s="155">
        <v>9</v>
      </c>
      <c r="BW15" s="155">
        <v>1.8779999999999999</v>
      </c>
      <c r="BX15" s="159">
        <v>2</v>
      </c>
      <c r="BY15" s="155">
        <v>5.7919999999999998</v>
      </c>
      <c r="BZ15" s="155">
        <v>115</v>
      </c>
      <c r="CA15" s="167">
        <v>23.49</v>
      </c>
    </row>
    <row r="16" spans="1:79">
      <c r="A16" s="132"/>
      <c r="B16" s="160" t="s">
        <v>69</v>
      </c>
      <c r="C16" s="134"/>
      <c r="D16" s="135"/>
      <c r="E16" s="136"/>
      <c r="F16" s="137"/>
      <c r="G16" s="137"/>
      <c r="H16" s="137"/>
      <c r="I16" s="137"/>
      <c r="J16" s="137"/>
      <c r="K16" s="138"/>
      <c r="L16" s="139"/>
      <c r="M16" s="140"/>
      <c r="N16" s="154"/>
      <c r="O16" s="155"/>
      <c r="P16" s="155"/>
      <c r="Q16" s="155"/>
      <c r="R16" s="162"/>
      <c r="S16" s="163"/>
      <c r="T16" s="163"/>
      <c r="U16" s="163"/>
      <c r="V16" s="163"/>
      <c r="W16" s="161"/>
      <c r="X16" s="162"/>
      <c r="Y16" s="161"/>
      <c r="Z16" s="162">
        <v>5.0000000000000001E-4</v>
      </c>
      <c r="AA16" s="164"/>
      <c r="AB16" s="161">
        <v>5.218333335E-2</v>
      </c>
      <c r="AC16" s="162"/>
      <c r="AD16" s="161"/>
      <c r="AE16" s="162"/>
      <c r="AF16" s="161"/>
      <c r="AG16" s="162"/>
      <c r="AH16" s="161"/>
      <c r="AI16" s="162"/>
      <c r="AJ16" s="163"/>
      <c r="AK16" s="162"/>
      <c r="AL16" s="161"/>
      <c r="AM16" s="162"/>
      <c r="AN16" s="161"/>
      <c r="AO16" s="162"/>
      <c r="AP16" s="161"/>
      <c r="AQ16" s="165"/>
      <c r="AR16" s="166"/>
      <c r="AS16" s="162"/>
      <c r="AT16" s="161"/>
      <c r="AU16" s="162"/>
      <c r="AV16" s="167"/>
      <c r="AW16" s="168"/>
      <c r="AX16" s="168"/>
      <c r="AY16" s="168"/>
      <c r="AZ16" s="162"/>
      <c r="BA16" s="161"/>
      <c r="BB16" s="169"/>
      <c r="BC16" s="170">
        <v>8.8829999999999991</v>
      </c>
      <c r="BD16" s="153">
        <f t="shared" si="2"/>
        <v>36.727183333349998</v>
      </c>
      <c r="BE16" s="154">
        <f t="shared" si="0"/>
        <v>5.3250000000000002</v>
      </c>
      <c r="BF16" s="155">
        <f t="shared" si="1"/>
        <v>16.382000000000001</v>
      </c>
      <c r="BG16" s="149">
        <f t="shared" si="4"/>
        <v>6.085</v>
      </c>
      <c r="BH16" s="154"/>
      <c r="BI16" s="155"/>
      <c r="BJ16" s="155"/>
      <c r="BK16" s="155"/>
      <c r="BL16" s="155"/>
      <c r="BM16" s="155"/>
      <c r="BN16" s="155"/>
      <c r="BO16" s="155"/>
      <c r="BP16" s="171"/>
      <c r="BQ16" s="155"/>
      <c r="BR16" s="155">
        <v>4</v>
      </c>
      <c r="BS16" s="167">
        <v>5.3250000000000002</v>
      </c>
      <c r="BT16" s="154"/>
      <c r="BU16" s="155"/>
      <c r="BV16" s="155">
        <v>2</v>
      </c>
      <c r="BW16" s="155">
        <v>0.45500000000000002</v>
      </c>
      <c r="BX16" s="159">
        <v>8</v>
      </c>
      <c r="BY16" s="155">
        <v>9.8420000000000005</v>
      </c>
      <c r="BZ16" s="155">
        <v>46</v>
      </c>
      <c r="CA16" s="167">
        <v>6.085</v>
      </c>
    </row>
    <row r="17" spans="1:79">
      <c r="A17" s="132"/>
      <c r="B17" s="160" t="s">
        <v>70</v>
      </c>
      <c r="C17" s="134"/>
      <c r="D17" s="135"/>
      <c r="E17" s="136"/>
      <c r="F17" s="137"/>
      <c r="G17" s="137"/>
      <c r="H17" s="137"/>
      <c r="I17" s="137"/>
      <c r="J17" s="137"/>
      <c r="K17" s="138"/>
      <c r="L17" s="139"/>
      <c r="M17" s="140"/>
      <c r="N17" s="154">
        <v>2E-3</v>
      </c>
      <c r="O17" s="155">
        <v>0.26800000000000002</v>
      </c>
      <c r="P17" s="155"/>
      <c r="Q17" s="155"/>
      <c r="R17" s="162"/>
      <c r="S17" s="163"/>
      <c r="T17" s="163"/>
      <c r="U17" s="163"/>
      <c r="V17" s="163"/>
      <c r="W17" s="161"/>
      <c r="X17" s="162"/>
      <c r="Y17" s="161"/>
      <c r="Z17" s="162"/>
      <c r="AA17" s="164"/>
      <c r="AB17" s="161"/>
      <c r="AC17" s="162"/>
      <c r="AD17" s="161"/>
      <c r="AE17" s="162">
        <v>8.9999999999999998E-4</v>
      </c>
      <c r="AF17" s="161">
        <v>1.39605</v>
      </c>
      <c r="AG17" s="162"/>
      <c r="AH17" s="161"/>
      <c r="AI17" s="162"/>
      <c r="AJ17" s="163"/>
      <c r="AK17" s="162"/>
      <c r="AL17" s="161"/>
      <c r="AM17" s="162"/>
      <c r="AN17" s="161"/>
      <c r="AO17" s="162"/>
      <c r="AP17" s="161"/>
      <c r="AQ17" s="165">
        <v>1</v>
      </c>
      <c r="AR17" s="166">
        <v>2.1208469999999999</v>
      </c>
      <c r="AS17" s="162"/>
      <c r="AT17" s="161"/>
      <c r="AU17" s="162"/>
      <c r="AV17" s="167"/>
      <c r="AW17" s="168"/>
      <c r="AX17" s="168"/>
      <c r="AY17" s="168"/>
      <c r="AZ17" s="162"/>
      <c r="BA17" s="161"/>
      <c r="BB17" s="169"/>
      <c r="BC17" s="170">
        <v>4.6929999999999996</v>
      </c>
      <c r="BD17" s="153">
        <f t="shared" si="2"/>
        <v>100.36089699999999</v>
      </c>
      <c r="BE17" s="154">
        <f t="shared" si="0"/>
        <v>78.025999999999996</v>
      </c>
      <c r="BF17" s="155">
        <f t="shared" si="1"/>
        <v>7.7489999999999997</v>
      </c>
      <c r="BG17" s="149">
        <f t="shared" si="4"/>
        <v>6.1079999999999997</v>
      </c>
      <c r="BH17" s="154"/>
      <c r="BI17" s="155"/>
      <c r="BJ17" s="155"/>
      <c r="BK17" s="155"/>
      <c r="BL17" s="155"/>
      <c r="BM17" s="155"/>
      <c r="BN17" s="155">
        <v>2E-3</v>
      </c>
      <c r="BO17" s="155">
        <v>0.94</v>
      </c>
      <c r="BP17" s="171"/>
      <c r="BQ17" s="155"/>
      <c r="BR17" s="155">
        <v>48</v>
      </c>
      <c r="BS17" s="167">
        <v>77.085999999999999</v>
      </c>
      <c r="BT17" s="154">
        <v>0.01</v>
      </c>
      <c r="BU17" s="155">
        <v>1.0149999999999999</v>
      </c>
      <c r="BV17" s="155">
        <v>2</v>
      </c>
      <c r="BW17" s="155">
        <v>0.626</v>
      </c>
      <c r="BX17" s="159"/>
      <c r="BY17" s="155"/>
      <c r="BZ17" s="155">
        <v>48</v>
      </c>
      <c r="CA17" s="167">
        <v>6.1079999999999997</v>
      </c>
    </row>
    <row r="18" spans="1:79">
      <c r="A18" s="132"/>
      <c r="B18" s="160" t="s">
        <v>71</v>
      </c>
      <c r="C18" s="134"/>
      <c r="D18" s="135"/>
      <c r="E18" s="136"/>
      <c r="F18" s="137"/>
      <c r="G18" s="137"/>
      <c r="H18" s="137"/>
      <c r="I18" s="137"/>
      <c r="J18" s="137"/>
      <c r="K18" s="138"/>
      <c r="L18" s="139"/>
      <c r="M18" s="140"/>
      <c r="N18" s="154">
        <v>2.1999999999999999E-2</v>
      </c>
      <c r="O18" s="155">
        <v>5.9359999999999999</v>
      </c>
      <c r="P18" s="155">
        <v>3.0000000000000001E-3</v>
      </c>
      <c r="Q18" s="155">
        <v>1.82</v>
      </c>
      <c r="R18" s="162"/>
      <c r="S18" s="163"/>
      <c r="T18" s="163"/>
      <c r="U18" s="163"/>
      <c r="V18" s="163"/>
      <c r="W18" s="161"/>
      <c r="X18" s="162"/>
      <c r="Y18" s="161"/>
      <c r="Z18" s="162">
        <v>7.4999999999999997E-3</v>
      </c>
      <c r="AA18" s="164">
        <f t="shared" si="3"/>
        <v>1.2145672586000003</v>
      </c>
      <c r="AB18" s="161">
        <v>1.3481572586000001</v>
      </c>
      <c r="AC18" s="162">
        <f>0.128+0.128+0.253</f>
        <v>0.50900000000000001</v>
      </c>
      <c r="AD18" s="161">
        <f>181.023+121.974+339.876</f>
        <v>642.87300000000005</v>
      </c>
      <c r="AE18" s="162"/>
      <c r="AF18" s="161"/>
      <c r="AG18" s="162">
        <v>2E-3</v>
      </c>
      <c r="AH18" s="161">
        <v>1.548386</v>
      </c>
      <c r="AI18" s="162"/>
      <c r="AJ18" s="163"/>
      <c r="AK18" s="162"/>
      <c r="AL18" s="161"/>
      <c r="AM18" s="162">
        <v>1</v>
      </c>
      <c r="AN18" s="161">
        <v>1.8951499999999999</v>
      </c>
      <c r="AO18" s="162"/>
      <c r="AP18" s="161"/>
      <c r="AQ18" s="165">
        <v>18</v>
      </c>
      <c r="AR18" s="166">
        <v>12.591015370769231</v>
      </c>
      <c r="AS18" s="162">
        <v>2E-3</v>
      </c>
      <c r="AT18" s="161">
        <v>5.9324579999999996</v>
      </c>
      <c r="AU18" s="162"/>
      <c r="AV18" s="167"/>
      <c r="AW18" s="168"/>
      <c r="AX18" s="168"/>
      <c r="AY18" s="168"/>
      <c r="AZ18" s="162">
        <v>2</v>
      </c>
      <c r="BA18" s="161">
        <v>8.3549191999999994</v>
      </c>
      <c r="BB18" s="169"/>
      <c r="BC18" s="170">
        <v>9.5559999999999992</v>
      </c>
      <c r="BD18" s="153">
        <f t="shared" si="2"/>
        <v>755.76520162936936</v>
      </c>
      <c r="BE18" s="154">
        <f t="shared" si="0"/>
        <v>46.299115800000003</v>
      </c>
      <c r="BF18" s="155">
        <f t="shared" si="1"/>
        <v>10.298</v>
      </c>
      <c r="BG18" s="149">
        <f t="shared" si="4"/>
        <v>7.3129999999999997</v>
      </c>
      <c r="BH18" s="154">
        <v>1.4499999999999999E-3</v>
      </c>
      <c r="BI18" s="155">
        <v>0.72311580000000009</v>
      </c>
      <c r="BJ18" s="155"/>
      <c r="BK18" s="155"/>
      <c r="BL18" s="155"/>
      <c r="BM18" s="155"/>
      <c r="BN18" s="155">
        <v>2.1000000000000001E-2</v>
      </c>
      <c r="BO18" s="155">
        <v>14.86</v>
      </c>
      <c r="BP18" s="171"/>
      <c r="BQ18" s="155"/>
      <c r="BR18" s="155">
        <v>33</v>
      </c>
      <c r="BS18" s="167">
        <v>30.716000000000001</v>
      </c>
      <c r="BT18" s="154"/>
      <c r="BU18" s="155"/>
      <c r="BV18" s="155">
        <v>1</v>
      </c>
      <c r="BW18" s="155">
        <v>0.24399999999999999</v>
      </c>
      <c r="BX18" s="159">
        <v>2</v>
      </c>
      <c r="BY18" s="155">
        <v>2.7410000000000001</v>
      </c>
      <c r="BZ18" s="155">
        <v>43</v>
      </c>
      <c r="CA18" s="167">
        <v>7.3129999999999997</v>
      </c>
    </row>
    <row r="19" spans="1:79">
      <c r="A19" s="132"/>
      <c r="B19" s="160" t="s">
        <v>72</v>
      </c>
      <c r="C19" s="134"/>
      <c r="D19" s="135"/>
      <c r="E19" s="136"/>
      <c r="F19" s="137"/>
      <c r="G19" s="137"/>
      <c r="H19" s="137"/>
      <c r="I19" s="137"/>
      <c r="J19" s="137"/>
      <c r="K19" s="138"/>
      <c r="L19" s="139"/>
      <c r="M19" s="140"/>
      <c r="N19" s="154"/>
      <c r="O19" s="155"/>
      <c r="P19" s="155"/>
      <c r="Q19" s="155"/>
      <c r="R19" s="162"/>
      <c r="S19" s="163"/>
      <c r="T19" s="163"/>
      <c r="U19" s="163"/>
      <c r="V19" s="163"/>
      <c r="W19" s="161"/>
      <c r="X19" s="162"/>
      <c r="Y19" s="161"/>
      <c r="Z19" s="162">
        <v>6.0000000000000001E-3</v>
      </c>
      <c r="AA19" s="164">
        <f t="shared" si="3"/>
        <v>0.60246978000000007</v>
      </c>
      <c r="AB19" s="161">
        <v>0.73605978000000005</v>
      </c>
      <c r="AC19" s="162"/>
      <c r="AD19" s="161"/>
      <c r="AE19" s="162"/>
      <c r="AF19" s="161"/>
      <c r="AG19" s="162">
        <v>5.0000000000000001E-4</v>
      </c>
      <c r="AH19" s="161">
        <v>0.29839450000000001</v>
      </c>
      <c r="AI19" s="162"/>
      <c r="AJ19" s="163"/>
      <c r="AK19" s="162"/>
      <c r="AL19" s="161"/>
      <c r="AM19" s="162"/>
      <c r="AN19" s="161"/>
      <c r="AO19" s="162"/>
      <c r="AP19" s="161"/>
      <c r="AQ19" s="165">
        <v>4</v>
      </c>
      <c r="AR19" s="166">
        <v>6.462328963</v>
      </c>
      <c r="AS19" s="162">
        <v>3.0999999999999999E-3</v>
      </c>
      <c r="AT19" s="161">
        <v>3.7076092999999997</v>
      </c>
      <c r="AU19" s="162"/>
      <c r="AV19" s="167"/>
      <c r="AW19" s="168"/>
      <c r="AX19" s="168"/>
      <c r="AY19" s="168"/>
      <c r="AZ19" s="162"/>
      <c r="BA19" s="161"/>
      <c r="BB19" s="169"/>
      <c r="BC19" s="170">
        <v>5.0410000000000004</v>
      </c>
      <c r="BD19" s="153">
        <f t="shared" si="2"/>
        <v>112.26052338715002</v>
      </c>
      <c r="BE19" s="154">
        <f t="shared" si="0"/>
        <v>67.343130844150011</v>
      </c>
      <c r="BF19" s="155">
        <f t="shared" si="1"/>
        <v>15.282999999999999</v>
      </c>
      <c r="BG19" s="149">
        <f t="shared" si="4"/>
        <v>13.388999999999999</v>
      </c>
      <c r="BH19" s="154"/>
      <c r="BI19" s="155"/>
      <c r="BJ19" s="155">
        <v>7.4999999999999997E-3</v>
      </c>
      <c r="BK19" s="155">
        <v>6.2475484571499997</v>
      </c>
      <c r="BL19" s="155">
        <v>3.5000000000000003E-2</v>
      </c>
      <c r="BM19" s="155">
        <v>30.400582387</v>
      </c>
      <c r="BN19" s="155">
        <v>1E-3</v>
      </c>
      <c r="BO19" s="155">
        <v>0.92300000000000004</v>
      </c>
      <c r="BP19" s="171"/>
      <c r="BQ19" s="155"/>
      <c r="BR19" s="155">
        <v>23</v>
      </c>
      <c r="BS19" s="167">
        <v>29.771999999999998</v>
      </c>
      <c r="BT19" s="154"/>
      <c r="BU19" s="155"/>
      <c r="BV19" s="155">
        <v>5</v>
      </c>
      <c r="BW19" s="155">
        <v>1.8939999999999999</v>
      </c>
      <c r="BX19" s="159"/>
      <c r="BY19" s="155"/>
      <c r="BZ19" s="155">
        <v>76</v>
      </c>
      <c r="CA19" s="167">
        <v>13.388999999999999</v>
      </c>
    </row>
    <row r="20" spans="1:79">
      <c r="A20" s="132"/>
      <c r="B20" s="160" t="s">
        <v>73</v>
      </c>
      <c r="C20" s="134"/>
      <c r="D20" s="135"/>
      <c r="E20" s="136"/>
      <c r="F20" s="137"/>
      <c r="G20" s="137"/>
      <c r="H20" s="137"/>
      <c r="I20" s="137"/>
      <c r="J20" s="137"/>
      <c r="K20" s="138"/>
      <c r="L20" s="139"/>
      <c r="M20" s="140"/>
      <c r="N20" s="154"/>
      <c r="O20" s="155"/>
      <c r="P20" s="155">
        <v>7.0000000000000007E-2</v>
      </c>
      <c r="Q20" s="155">
        <v>34.043999999999997</v>
      </c>
      <c r="R20" s="162"/>
      <c r="S20" s="163"/>
      <c r="T20" s="163"/>
      <c r="U20" s="163"/>
      <c r="V20" s="163"/>
      <c r="W20" s="161"/>
      <c r="X20" s="162"/>
      <c r="Y20" s="161"/>
      <c r="Z20" s="162">
        <v>5.4000000000000003E-3</v>
      </c>
      <c r="AA20" s="164">
        <f t="shared" si="3"/>
        <v>0.56681252180000008</v>
      </c>
      <c r="AB20" s="161">
        <v>0.70040252180000007</v>
      </c>
      <c r="AC20" s="162"/>
      <c r="AD20" s="161"/>
      <c r="AE20" s="162"/>
      <c r="AF20" s="161"/>
      <c r="AG20" s="162"/>
      <c r="AH20" s="161"/>
      <c r="AI20" s="162"/>
      <c r="AJ20" s="163"/>
      <c r="AK20" s="162"/>
      <c r="AL20" s="161"/>
      <c r="AM20" s="162"/>
      <c r="AN20" s="161"/>
      <c r="AO20" s="162"/>
      <c r="AP20" s="161"/>
      <c r="AQ20" s="165">
        <f>AO20+AO21+AO22+AO23</f>
        <v>2</v>
      </c>
      <c r="AR20" s="166">
        <v>4.2210000000000001</v>
      </c>
      <c r="AS20" s="162"/>
      <c r="AT20" s="161"/>
      <c r="AU20" s="162"/>
      <c r="AV20" s="167"/>
      <c r="AW20" s="168"/>
      <c r="AX20" s="168"/>
      <c r="AY20" s="168"/>
      <c r="AZ20" s="162"/>
      <c r="BA20" s="161"/>
      <c r="BB20" s="169"/>
      <c r="BC20" s="170">
        <v>7.5949999999999998</v>
      </c>
      <c r="BD20" s="153">
        <f t="shared" si="2"/>
        <v>138.18826766980001</v>
      </c>
      <c r="BE20" s="154">
        <f t="shared" si="0"/>
        <v>46.232865148000002</v>
      </c>
      <c r="BF20" s="155">
        <f t="shared" si="1"/>
        <v>29.330000000000002</v>
      </c>
      <c r="BG20" s="149">
        <f t="shared" si="4"/>
        <v>16.065000000000001</v>
      </c>
      <c r="BH20" s="154"/>
      <c r="BI20" s="155"/>
      <c r="BJ20" s="155">
        <v>4.0000000000000001E-3</v>
      </c>
      <c r="BK20" s="155">
        <v>3.8358651479999999</v>
      </c>
      <c r="BL20" s="155"/>
      <c r="BM20" s="155"/>
      <c r="BN20" s="155">
        <v>4.0000000000000001E-3</v>
      </c>
      <c r="BO20" s="155">
        <v>2.238</v>
      </c>
      <c r="BP20" s="171"/>
      <c r="BQ20" s="155"/>
      <c r="BR20" s="155">
        <v>32</v>
      </c>
      <c r="BS20" s="167">
        <v>40.158999999999999</v>
      </c>
      <c r="BT20" s="154">
        <v>1.7999999999999999E-2</v>
      </c>
      <c r="BU20" s="155">
        <v>3.8929999999999998</v>
      </c>
      <c r="BV20" s="155">
        <v>2</v>
      </c>
      <c r="BW20" s="155">
        <v>0.52300000000000002</v>
      </c>
      <c r="BX20" s="159">
        <v>4</v>
      </c>
      <c r="BY20" s="155">
        <v>8.8490000000000002</v>
      </c>
      <c r="BZ20" s="155">
        <v>99</v>
      </c>
      <c r="CA20" s="167">
        <v>16.065000000000001</v>
      </c>
    </row>
    <row r="21" spans="1:79">
      <c r="A21" s="132"/>
      <c r="B21" s="160" t="s">
        <v>74</v>
      </c>
      <c r="C21" s="134"/>
      <c r="D21" s="135"/>
      <c r="E21" s="136"/>
      <c r="F21" s="137"/>
      <c r="G21" s="137"/>
      <c r="H21" s="137"/>
      <c r="I21" s="137"/>
      <c r="J21" s="137"/>
      <c r="K21" s="138"/>
      <c r="L21" s="139"/>
      <c r="M21" s="140"/>
      <c r="N21" s="154"/>
      <c r="O21" s="155"/>
      <c r="P21" s="155">
        <v>1.2E-2</v>
      </c>
      <c r="Q21" s="155">
        <v>20.713999999999999</v>
      </c>
      <c r="R21" s="162"/>
      <c r="S21" s="163"/>
      <c r="T21" s="163"/>
      <c r="U21" s="163"/>
      <c r="V21" s="163"/>
      <c r="W21" s="161"/>
      <c r="X21" s="162"/>
      <c r="Y21" s="161"/>
      <c r="Z21" s="162">
        <v>3.5000000000000001E-3</v>
      </c>
      <c r="AA21" s="164">
        <f t="shared" si="3"/>
        <v>0.43826046485000003</v>
      </c>
      <c r="AB21" s="161">
        <v>0.57185046485000002</v>
      </c>
      <c r="AC21" s="162"/>
      <c r="AD21" s="161"/>
      <c r="AE21" s="162"/>
      <c r="AF21" s="161"/>
      <c r="AG21" s="162"/>
      <c r="AH21" s="161"/>
      <c r="AI21" s="162"/>
      <c r="AJ21" s="163"/>
      <c r="AK21" s="162"/>
      <c r="AL21" s="161"/>
      <c r="AM21" s="162">
        <v>1</v>
      </c>
      <c r="AN21" s="161">
        <v>4.168622</v>
      </c>
      <c r="AO21" s="162">
        <v>2</v>
      </c>
      <c r="AP21" s="161">
        <v>26.32</v>
      </c>
      <c r="AQ21" s="165">
        <v>7</v>
      </c>
      <c r="AR21" s="166">
        <v>10.286392915999999</v>
      </c>
      <c r="AS21" s="162">
        <v>3.0999999999999999E-3</v>
      </c>
      <c r="AT21" s="161">
        <v>3.7076092999999997</v>
      </c>
      <c r="AU21" s="162"/>
      <c r="AV21" s="167"/>
      <c r="AW21" s="168"/>
      <c r="AX21" s="168"/>
      <c r="AY21" s="168"/>
      <c r="AZ21" s="162"/>
      <c r="BA21" s="161"/>
      <c r="BB21" s="169"/>
      <c r="BC21" s="170">
        <f>1.658664+0.561</f>
        <v>2.2196639999999999</v>
      </c>
      <c r="BD21" s="153">
        <f t="shared" si="2"/>
        <v>123.64142968084998</v>
      </c>
      <c r="BE21" s="154">
        <f t="shared" si="0"/>
        <v>36.301291000000006</v>
      </c>
      <c r="BF21" s="155">
        <f t="shared" si="1"/>
        <v>11.376999999999999</v>
      </c>
      <c r="BG21" s="149">
        <f t="shared" si="4"/>
        <v>7.9749999999999996</v>
      </c>
      <c r="BH21" s="154"/>
      <c r="BI21" s="155"/>
      <c r="BJ21" s="155">
        <v>3.0000000000000001E-3</v>
      </c>
      <c r="BK21" s="155">
        <v>2.5502910000000001</v>
      </c>
      <c r="BL21" s="155"/>
      <c r="BM21" s="155"/>
      <c r="BN21" s="155">
        <v>0.01</v>
      </c>
      <c r="BO21" s="155">
        <v>16.021000000000001</v>
      </c>
      <c r="BP21" s="171"/>
      <c r="BQ21" s="155"/>
      <c r="BR21" s="155">
        <v>14</v>
      </c>
      <c r="BS21" s="167">
        <v>17.73</v>
      </c>
      <c r="BT21" s="154"/>
      <c r="BU21" s="155"/>
      <c r="BV21" s="155">
        <v>4</v>
      </c>
      <c r="BW21" s="155">
        <v>0.92500000000000004</v>
      </c>
      <c r="BX21" s="159">
        <v>1</v>
      </c>
      <c r="BY21" s="155">
        <v>2.4769999999999999</v>
      </c>
      <c r="BZ21" s="155">
        <v>56</v>
      </c>
      <c r="CA21" s="167">
        <v>7.9749999999999996</v>
      </c>
    </row>
    <row r="22" spans="1:79">
      <c r="A22" s="132"/>
      <c r="B22" s="160" t="s">
        <v>75</v>
      </c>
      <c r="C22" s="134"/>
      <c r="D22" s="135"/>
      <c r="E22" s="136"/>
      <c r="F22" s="137"/>
      <c r="G22" s="137"/>
      <c r="H22" s="137"/>
      <c r="I22" s="137"/>
      <c r="J22" s="137"/>
      <c r="K22" s="138"/>
      <c r="L22" s="139"/>
      <c r="M22" s="140"/>
      <c r="N22" s="154"/>
      <c r="O22" s="155"/>
      <c r="P22" s="155">
        <v>1.5E-3</v>
      </c>
      <c r="Q22" s="155">
        <v>12.788548180000001</v>
      </c>
      <c r="R22" s="162"/>
      <c r="S22" s="163"/>
      <c r="T22" s="163"/>
      <c r="U22" s="163"/>
      <c r="V22" s="163"/>
      <c r="W22" s="161"/>
      <c r="X22" s="162">
        <f>0.006+0.012</f>
        <v>1.8000000000000002E-2</v>
      </c>
      <c r="Y22" s="161">
        <f>2.753+5.367</f>
        <v>8.120000000000001</v>
      </c>
      <c r="Z22" s="162">
        <v>2.1699999999999997E-2</v>
      </c>
      <c r="AA22" s="164">
        <f t="shared" si="3"/>
        <v>2.1583762163000002</v>
      </c>
      <c r="AB22" s="161">
        <v>2.2919662163000001</v>
      </c>
      <c r="AC22" s="162"/>
      <c r="AD22" s="161"/>
      <c r="AE22" s="162"/>
      <c r="AF22" s="161"/>
      <c r="AG22" s="162"/>
      <c r="AH22" s="161"/>
      <c r="AI22" s="162"/>
      <c r="AJ22" s="163"/>
      <c r="AK22" s="162"/>
      <c r="AL22" s="161"/>
      <c r="AM22" s="162"/>
      <c r="AN22" s="161"/>
      <c r="AO22" s="162"/>
      <c r="AP22" s="161"/>
      <c r="AQ22" s="165">
        <v>5</v>
      </c>
      <c r="AR22" s="166">
        <v>2.5043247499999999</v>
      </c>
      <c r="AS22" s="162">
        <v>3.0000000000000001E-3</v>
      </c>
      <c r="AT22" s="161">
        <v>7.9100459999999995</v>
      </c>
      <c r="AU22" s="162"/>
      <c r="AV22" s="167"/>
      <c r="AW22" s="168"/>
      <c r="AX22" s="168"/>
      <c r="AY22" s="168"/>
      <c r="AZ22" s="162"/>
      <c r="BA22" s="161"/>
      <c r="BB22" s="169"/>
      <c r="BC22" s="170">
        <v>6.4669999999999996</v>
      </c>
      <c r="BD22" s="153">
        <f t="shared" si="2"/>
        <v>108.16468286830001</v>
      </c>
      <c r="BE22" s="154">
        <f t="shared" si="0"/>
        <v>41.876797721999999</v>
      </c>
      <c r="BF22" s="155">
        <f t="shared" si="1"/>
        <v>19.411000000000001</v>
      </c>
      <c r="BG22" s="149">
        <f t="shared" si="4"/>
        <v>6.7949999999999999</v>
      </c>
      <c r="BH22" s="154"/>
      <c r="BI22" s="155"/>
      <c r="BJ22" s="155">
        <v>6.0000000000000001E-3</v>
      </c>
      <c r="BK22" s="155">
        <v>5.7537977219999998</v>
      </c>
      <c r="BL22" s="155"/>
      <c r="BM22" s="155"/>
      <c r="BN22" s="155">
        <v>4.0000000000000001E-3</v>
      </c>
      <c r="BO22" s="155">
        <v>2.238</v>
      </c>
      <c r="BP22" s="171"/>
      <c r="BQ22" s="155"/>
      <c r="BR22" s="155">
        <v>44</v>
      </c>
      <c r="BS22" s="167">
        <v>33.884999999999998</v>
      </c>
      <c r="BT22" s="154"/>
      <c r="BU22" s="155"/>
      <c r="BV22" s="155">
        <v>3</v>
      </c>
      <c r="BW22" s="155">
        <v>1.0249999999999999</v>
      </c>
      <c r="BX22" s="159">
        <v>4</v>
      </c>
      <c r="BY22" s="155">
        <v>11.590999999999999</v>
      </c>
      <c r="BZ22" s="155">
        <v>44</v>
      </c>
      <c r="CA22" s="167">
        <v>6.7949999999999999</v>
      </c>
    </row>
    <row r="23" spans="1:79">
      <c r="A23" s="132"/>
      <c r="B23" s="160" t="s">
        <v>76</v>
      </c>
      <c r="C23" s="134"/>
      <c r="D23" s="135"/>
      <c r="E23" s="136"/>
      <c r="F23" s="137"/>
      <c r="G23" s="137"/>
      <c r="H23" s="137"/>
      <c r="I23" s="137"/>
      <c r="J23" s="137"/>
      <c r="K23" s="138"/>
      <c r="L23" s="139"/>
      <c r="M23" s="140"/>
      <c r="N23" s="154">
        <v>8.0000000000000002E-3</v>
      </c>
      <c r="O23" s="155">
        <v>4.6959999999999997</v>
      </c>
      <c r="P23" s="155"/>
      <c r="Q23" s="155"/>
      <c r="R23" s="162"/>
      <c r="S23" s="163"/>
      <c r="T23" s="163"/>
      <c r="U23" s="163"/>
      <c r="V23" s="163"/>
      <c r="W23" s="161"/>
      <c r="X23" s="162"/>
      <c r="Y23" s="161"/>
      <c r="Z23" s="162">
        <v>1.0200000000000001E-2</v>
      </c>
      <c r="AA23" s="164">
        <f t="shared" si="3"/>
        <v>1.7745089738200002</v>
      </c>
      <c r="AB23" s="161">
        <v>1.90809897382</v>
      </c>
      <c r="AC23" s="162">
        <f>0.078+0.001</f>
        <v>7.9000000000000001E-2</v>
      </c>
      <c r="AD23" s="161">
        <f>128.126+0.343</f>
        <v>128.46899999999999</v>
      </c>
      <c r="AE23" s="162"/>
      <c r="AF23" s="161"/>
      <c r="AG23" s="162"/>
      <c r="AH23" s="161"/>
      <c r="AI23" s="162"/>
      <c r="AJ23" s="163"/>
      <c r="AK23" s="162"/>
      <c r="AL23" s="161"/>
      <c r="AM23" s="162">
        <v>1</v>
      </c>
      <c r="AN23" s="161">
        <v>1.5109999999999999</v>
      </c>
      <c r="AO23" s="162"/>
      <c r="AP23" s="161"/>
      <c r="AQ23" s="165">
        <v>9</v>
      </c>
      <c r="AR23" s="166">
        <v>4.4445006510000002</v>
      </c>
      <c r="AS23" s="162">
        <v>2.5000000000000001E-3</v>
      </c>
      <c r="AT23" s="161">
        <v>3.0341424999999997</v>
      </c>
      <c r="AU23" s="162"/>
      <c r="AV23" s="167"/>
      <c r="AW23" s="168"/>
      <c r="AX23" s="168">
        <v>1</v>
      </c>
      <c r="AY23" s="168">
        <v>1.7030000000000001</v>
      </c>
      <c r="AZ23" s="162"/>
      <c r="BA23" s="161"/>
      <c r="BB23" s="169"/>
      <c r="BC23" s="170">
        <v>9.8849999999999998</v>
      </c>
      <c r="BD23" s="153">
        <f t="shared" si="2"/>
        <v>227.39830277106998</v>
      </c>
      <c r="BE23" s="154">
        <f t="shared" si="0"/>
        <v>31.03756064625</v>
      </c>
      <c r="BF23" s="155">
        <f t="shared" si="1"/>
        <v>25.606999999999999</v>
      </c>
      <c r="BG23" s="149">
        <f t="shared" si="4"/>
        <v>15.103</v>
      </c>
      <c r="BH23" s="154"/>
      <c r="BI23" s="155"/>
      <c r="BJ23" s="155">
        <v>7.4999999999999997E-3</v>
      </c>
      <c r="BK23" s="155">
        <v>5.96256064625</v>
      </c>
      <c r="BL23" s="155"/>
      <c r="BM23" s="155"/>
      <c r="BN23" s="155">
        <v>7.0000000000000001E-3</v>
      </c>
      <c r="BO23" s="155">
        <v>6.64</v>
      </c>
      <c r="BP23" s="171"/>
      <c r="BQ23" s="155"/>
      <c r="BR23" s="155">
        <v>12</v>
      </c>
      <c r="BS23" s="167">
        <v>18.434999999999999</v>
      </c>
      <c r="BT23" s="154"/>
      <c r="BU23" s="155"/>
      <c r="BV23" s="155">
        <v>2</v>
      </c>
      <c r="BW23" s="155">
        <v>0.66200000000000003</v>
      </c>
      <c r="BX23" s="159">
        <v>8</v>
      </c>
      <c r="BY23" s="155">
        <v>9.8420000000000005</v>
      </c>
      <c r="BZ23" s="155">
        <v>88</v>
      </c>
      <c r="CA23" s="167">
        <v>15.103</v>
      </c>
    </row>
    <row r="24" spans="1:79">
      <c r="A24" s="132"/>
      <c r="B24" s="160" t="s">
        <v>77</v>
      </c>
      <c r="C24" s="134"/>
      <c r="D24" s="135"/>
      <c r="E24" s="136"/>
      <c r="F24" s="137"/>
      <c r="G24" s="137"/>
      <c r="H24" s="137"/>
      <c r="I24" s="137"/>
      <c r="J24" s="137"/>
      <c r="K24" s="138"/>
      <c r="L24" s="139"/>
      <c r="M24" s="140"/>
      <c r="N24" s="154"/>
      <c r="O24" s="155"/>
      <c r="P24" s="155">
        <v>3.0000000000000001E-3</v>
      </c>
      <c r="Q24" s="155">
        <v>2.4657036371999999</v>
      </c>
      <c r="R24" s="162"/>
      <c r="S24" s="163"/>
      <c r="T24" s="163"/>
      <c r="U24" s="163"/>
      <c r="V24" s="163"/>
      <c r="W24" s="161"/>
      <c r="X24" s="162"/>
      <c r="Y24" s="161"/>
      <c r="Z24" s="162">
        <v>2.29E-2</v>
      </c>
      <c r="AA24" s="164">
        <f t="shared" si="3"/>
        <v>3.14917873543</v>
      </c>
      <c r="AB24" s="161">
        <v>3.2827687354299999</v>
      </c>
      <c r="AC24" s="162">
        <f>0.487+0.0538</f>
        <v>0.54079999999999995</v>
      </c>
      <c r="AD24" s="161">
        <f>226.217+431.503+72.633+46.5506</f>
        <v>776.9036000000001</v>
      </c>
      <c r="AE24" s="162"/>
      <c r="AF24" s="161"/>
      <c r="AG24" s="162">
        <v>1E-3</v>
      </c>
      <c r="AH24" s="161">
        <v>0.69564400000000004</v>
      </c>
      <c r="AI24" s="162"/>
      <c r="AJ24" s="163"/>
      <c r="AK24" s="162"/>
      <c r="AL24" s="161"/>
      <c r="AM24" s="162">
        <v>3</v>
      </c>
      <c r="AN24" s="161">
        <v>14.208230388999999</v>
      </c>
      <c r="AO24" s="162"/>
      <c r="AP24" s="161"/>
      <c r="AQ24" s="165">
        <v>14</v>
      </c>
      <c r="AR24" s="166">
        <v>30.380197641538501</v>
      </c>
      <c r="AS24" s="162"/>
      <c r="AT24" s="161"/>
      <c r="AU24" s="162"/>
      <c r="AV24" s="167"/>
      <c r="AW24" s="168"/>
      <c r="AX24" s="168"/>
      <c r="AY24" s="168"/>
      <c r="AZ24" s="162">
        <v>2</v>
      </c>
      <c r="BA24" s="161">
        <v>7.6684871999999995</v>
      </c>
      <c r="BB24" s="169"/>
      <c r="BC24" s="170">
        <v>6.7</v>
      </c>
      <c r="BD24" s="153">
        <f t="shared" si="2"/>
        <v>929.64520303171867</v>
      </c>
      <c r="BE24" s="154">
        <f t="shared" si="0"/>
        <v>42.947571428549999</v>
      </c>
      <c r="BF24" s="155">
        <f t="shared" si="1"/>
        <v>24.913</v>
      </c>
      <c r="BG24" s="149">
        <f t="shared" si="4"/>
        <v>19.48</v>
      </c>
      <c r="BH24" s="154"/>
      <c r="BI24" s="155"/>
      <c r="BJ24" s="155">
        <v>1.15E-2</v>
      </c>
      <c r="BK24" s="155">
        <v>9.5947464285499997</v>
      </c>
      <c r="BL24" s="155">
        <v>1E-3</v>
      </c>
      <c r="BM24" s="155">
        <v>0.98882500000000007</v>
      </c>
      <c r="BN24" s="155"/>
      <c r="BO24" s="155"/>
      <c r="BP24" s="171"/>
      <c r="BQ24" s="155"/>
      <c r="BR24" s="155">
        <v>27</v>
      </c>
      <c r="BS24" s="167">
        <v>32.363999999999997</v>
      </c>
      <c r="BT24" s="154"/>
      <c r="BU24" s="155"/>
      <c r="BV24" s="155">
        <v>7</v>
      </c>
      <c r="BW24" s="155">
        <v>2.173</v>
      </c>
      <c r="BX24" s="159">
        <v>1</v>
      </c>
      <c r="BY24" s="155">
        <v>3.26</v>
      </c>
      <c r="BZ24" s="155">
        <v>119</v>
      </c>
      <c r="CA24" s="167">
        <v>19.48</v>
      </c>
    </row>
    <row r="25" spans="1:79">
      <c r="A25" s="132"/>
      <c r="B25" s="160" t="s">
        <v>78</v>
      </c>
      <c r="C25" s="134"/>
      <c r="D25" s="135"/>
      <c r="E25" s="136"/>
      <c r="F25" s="137"/>
      <c r="G25" s="137"/>
      <c r="H25" s="137"/>
      <c r="I25" s="137"/>
      <c r="J25" s="137"/>
      <c r="K25" s="138"/>
      <c r="L25" s="139"/>
      <c r="M25" s="140"/>
      <c r="N25" s="154"/>
      <c r="O25" s="155"/>
      <c r="P25" s="155"/>
      <c r="Q25" s="155"/>
      <c r="R25" s="162"/>
      <c r="S25" s="163"/>
      <c r="T25" s="163"/>
      <c r="U25" s="163"/>
      <c r="V25" s="163"/>
      <c r="W25" s="161"/>
      <c r="X25" s="162"/>
      <c r="Y25" s="161"/>
      <c r="Z25" s="162">
        <v>2.3E-3</v>
      </c>
      <c r="AA25" s="164">
        <f t="shared" si="3"/>
        <v>0.24219744833000001</v>
      </c>
      <c r="AB25" s="161">
        <v>0.37578744833</v>
      </c>
      <c r="AC25" s="162"/>
      <c r="AD25" s="161"/>
      <c r="AE25" s="162"/>
      <c r="AF25" s="161"/>
      <c r="AG25" s="162"/>
      <c r="AH25" s="161"/>
      <c r="AI25" s="162"/>
      <c r="AJ25" s="163"/>
      <c r="AK25" s="162"/>
      <c r="AL25" s="161"/>
      <c r="AM25" s="162"/>
      <c r="AN25" s="161"/>
      <c r="AO25" s="162"/>
      <c r="AP25" s="161"/>
      <c r="AQ25" s="165">
        <v>8</v>
      </c>
      <c r="AR25" s="166">
        <v>5.5164003639999999</v>
      </c>
      <c r="AS25" s="162"/>
      <c r="AT25" s="161"/>
      <c r="AU25" s="162"/>
      <c r="AV25" s="167"/>
      <c r="AW25" s="168"/>
      <c r="AX25" s="168">
        <v>1</v>
      </c>
      <c r="AY25" s="168">
        <v>35.819000000000003</v>
      </c>
      <c r="AZ25" s="162"/>
      <c r="BA25" s="161"/>
      <c r="BB25" s="169"/>
      <c r="BC25" s="170">
        <v>2.8170000000000002</v>
      </c>
      <c r="BD25" s="153">
        <f t="shared" si="2"/>
        <v>67.264187812329993</v>
      </c>
      <c r="BE25" s="154">
        <f t="shared" si="0"/>
        <v>9.9039999999999999</v>
      </c>
      <c r="BF25" s="155">
        <f t="shared" si="1"/>
        <v>6.4160000000000004</v>
      </c>
      <c r="BG25" s="149">
        <f t="shared" si="4"/>
        <v>6.4160000000000004</v>
      </c>
      <c r="BH25" s="154"/>
      <c r="BI25" s="155"/>
      <c r="BJ25" s="155"/>
      <c r="BK25" s="155"/>
      <c r="BL25" s="155"/>
      <c r="BM25" s="155"/>
      <c r="BN25" s="155">
        <v>2E-3</v>
      </c>
      <c r="BO25" s="155">
        <v>3.2040000000000002</v>
      </c>
      <c r="BP25" s="171"/>
      <c r="BQ25" s="155"/>
      <c r="BR25" s="155">
        <v>6</v>
      </c>
      <c r="BS25" s="167">
        <v>6.7</v>
      </c>
      <c r="BT25" s="154"/>
      <c r="BU25" s="155"/>
      <c r="BV25" s="155"/>
      <c r="BW25" s="155"/>
      <c r="BX25" s="159"/>
      <c r="BY25" s="155"/>
      <c r="BZ25" s="155">
        <v>57</v>
      </c>
      <c r="CA25" s="167">
        <v>6.4160000000000004</v>
      </c>
    </row>
    <row r="26" spans="1:79">
      <c r="A26" s="132"/>
      <c r="B26" s="160" t="s">
        <v>79</v>
      </c>
      <c r="C26" s="134"/>
      <c r="D26" s="135"/>
      <c r="E26" s="136"/>
      <c r="F26" s="137"/>
      <c r="G26" s="137"/>
      <c r="H26" s="137"/>
      <c r="I26" s="137"/>
      <c r="J26" s="137"/>
      <c r="K26" s="138"/>
      <c r="L26" s="139"/>
      <c r="M26" s="140"/>
      <c r="N26" s="154"/>
      <c r="O26" s="155"/>
      <c r="P26" s="155"/>
      <c r="Q26" s="155"/>
      <c r="R26" s="162"/>
      <c r="S26" s="163"/>
      <c r="T26" s="163"/>
      <c r="U26" s="163"/>
      <c r="V26" s="163"/>
      <c r="W26" s="161"/>
      <c r="X26" s="162"/>
      <c r="Y26" s="161"/>
      <c r="Z26" s="162">
        <v>2E-3</v>
      </c>
      <c r="AA26" s="164"/>
      <c r="AB26" s="161">
        <v>0.12251200000000001</v>
      </c>
      <c r="AC26" s="162"/>
      <c r="AD26" s="161"/>
      <c r="AE26" s="162"/>
      <c r="AF26" s="161"/>
      <c r="AG26" s="162"/>
      <c r="AH26" s="161"/>
      <c r="AI26" s="162"/>
      <c r="AJ26" s="163"/>
      <c r="AK26" s="162"/>
      <c r="AL26" s="161"/>
      <c r="AM26" s="162"/>
      <c r="AN26" s="161"/>
      <c r="AO26" s="162"/>
      <c r="AP26" s="161"/>
      <c r="AQ26" s="165">
        <v>8</v>
      </c>
      <c r="AR26" s="166">
        <v>11.856051645999999</v>
      </c>
      <c r="AS26" s="162"/>
      <c r="AT26" s="161"/>
      <c r="AU26" s="162"/>
      <c r="AV26" s="167"/>
      <c r="AW26" s="168"/>
      <c r="AX26" s="168"/>
      <c r="AY26" s="168"/>
      <c r="AZ26" s="162"/>
      <c r="BA26" s="161"/>
      <c r="BB26" s="169"/>
      <c r="BC26" s="170">
        <v>9.5280000000000005</v>
      </c>
      <c r="BD26" s="153">
        <f t="shared" si="2"/>
        <v>94.659027793999996</v>
      </c>
      <c r="BE26" s="154">
        <f t="shared" si="0"/>
        <v>43.128464147999999</v>
      </c>
      <c r="BF26" s="155">
        <f t="shared" si="1"/>
        <v>22.822000000000003</v>
      </c>
      <c r="BG26" s="149">
        <f t="shared" si="4"/>
        <v>7.202</v>
      </c>
      <c r="BH26" s="154"/>
      <c r="BI26" s="155"/>
      <c r="BJ26" s="155">
        <v>4.0000000000000001E-3</v>
      </c>
      <c r="BK26" s="155">
        <v>3.8358651479999999</v>
      </c>
      <c r="BL26" s="155">
        <v>1E-3</v>
      </c>
      <c r="BM26" s="155">
        <v>0.5905990000000001</v>
      </c>
      <c r="BN26" s="155">
        <v>4.0000000000000001E-3</v>
      </c>
      <c r="BO26" s="155">
        <v>2.238</v>
      </c>
      <c r="BP26" s="171"/>
      <c r="BQ26" s="155"/>
      <c r="BR26" s="155">
        <v>31</v>
      </c>
      <c r="BS26" s="167">
        <v>36.463999999999999</v>
      </c>
      <c r="BT26" s="154">
        <v>3.5000000000000003E-2</v>
      </c>
      <c r="BU26" s="155">
        <v>9.0060000000000002</v>
      </c>
      <c r="BV26" s="155">
        <v>1</v>
      </c>
      <c r="BW26" s="155">
        <v>0.307</v>
      </c>
      <c r="BX26" s="159">
        <v>2</v>
      </c>
      <c r="BY26" s="155">
        <v>6.3070000000000004</v>
      </c>
      <c r="BZ26" s="155">
        <v>40</v>
      </c>
      <c r="CA26" s="167">
        <v>7.202</v>
      </c>
    </row>
    <row r="27" spans="1:79">
      <c r="A27" s="132"/>
      <c r="B27" s="160" t="s">
        <v>80</v>
      </c>
      <c r="C27" s="134"/>
      <c r="D27" s="135"/>
      <c r="E27" s="136"/>
      <c r="F27" s="137"/>
      <c r="G27" s="137"/>
      <c r="H27" s="137"/>
      <c r="I27" s="137"/>
      <c r="J27" s="137"/>
      <c r="K27" s="138"/>
      <c r="L27" s="139"/>
      <c r="M27" s="140"/>
      <c r="N27" s="154">
        <v>1.7999999999999999E-2</v>
      </c>
      <c r="O27" s="155">
        <v>4.8564999917999998</v>
      </c>
      <c r="P27" s="155">
        <v>6.2E-2</v>
      </c>
      <c r="Q27" s="155">
        <v>6.6443859600000001</v>
      </c>
      <c r="R27" s="162"/>
      <c r="S27" s="163"/>
      <c r="T27" s="163"/>
      <c r="U27" s="163"/>
      <c r="V27" s="163"/>
      <c r="W27" s="161"/>
      <c r="X27" s="162"/>
      <c r="Y27" s="161"/>
      <c r="Z27" s="162">
        <v>9.0799999999999992E-2</v>
      </c>
      <c r="AA27" s="164">
        <f t="shared" si="3"/>
        <v>27.699128724829997</v>
      </c>
      <c r="AB27" s="161">
        <v>27.832718724829999</v>
      </c>
      <c r="AC27" s="162"/>
      <c r="AD27" s="161"/>
      <c r="AE27" s="162"/>
      <c r="AF27" s="161"/>
      <c r="AG27" s="162"/>
      <c r="AH27" s="161"/>
      <c r="AI27" s="162">
        <v>4</v>
      </c>
      <c r="AJ27" s="163">
        <v>2.804098824</v>
      </c>
      <c r="AK27" s="162"/>
      <c r="AL27" s="161"/>
      <c r="AM27" s="162"/>
      <c r="AN27" s="161"/>
      <c r="AO27" s="162"/>
      <c r="AP27" s="161"/>
      <c r="AQ27" s="165"/>
      <c r="AR27" s="166"/>
      <c r="AS27" s="162">
        <v>3.0000000000000001E-3</v>
      </c>
      <c r="AT27" s="161">
        <v>8.4836199990000001</v>
      </c>
      <c r="AU27" s="162"/>
      <c r="AV27" s="167"/>
      <c r="AW27" s="168"/>
      <c r="AX27" s="168"/>
      <c r="AY27" s="168"/>
      <c r="AZ27" s="162"/>
      <c r="BA27" s="161"/>
      <c r="BB27" s="169"/>
      <c r="BC27" s="170">
        <v>12.576000000000001</v>
      </c>
      <c r="BD27" s="153">
        <f t="shared" si="2"/>
        <v>134.94122239962999</v>
      </c>
      <c r="BE27" s="154">
        <f t="shared" si="0"/>
        <v>34.875898899999996</v>
      </c>
      <c r="BF27" s="155">
        <f t="shared" si="1"/>
        <v>22.773</v>
      </c>
      <c r="BG27" s="149">
        <f t="shared" si="4"/>
        <v>14.095000000000001</v>
      </c>
      <c r="BH27" s="154"/>
      <c r="BI27" s="155"/>
      <c r="BJ27" s="155"/>
      <c r="BK27" s="155"/>
      <c r="BL27" s="155">
        <v>9.9000000000000008E-3</v>
      </c>
      <c r="BM27" s="155">
        <v>15.808898900000001</v>
      </c>
      <c r="BN27" s="155">
        <v>3.0000000000000001E-3</v>
      </c>
      <c r="BO27" s="155">
        <v>2.7040000000000002</v>
      </c>
      <c r="BP27" s="171"/>
      <c r="BQ27" s="155"/>
      <c r="BR27" s="155">
        <v>25</v>
      </c>
      <c r="BS27" s="167">
        <v>16.363</v>
      </c>
      <c r="BT27" s="154">
        <v>5.8999999999999997E-2</v>
      </c>
      <c r="BU27" s="155">
        <v>6.4539999999999997</v>
      </c>
      <c r="BV27" s="155">
        <v>2</v>
      </c>
      <c r="BW27" s="155">
        <v>0.85299999999999998</v>
      </c>
      <c r="BX27" s="159">
        <v>1</v>
      </c>
      <c r="BY27" s="155">
        <v>1.371</v>
      </c>
      <c r="BZ27" s="155">
        <v>94</v>
      </c>
      <c r="CA27" s="167">
        <v>14.095000000000001</v>
      </c>
    </row>
    <row r="28" spans="1:79">
      <c r="A28" s="132"/>
      <c r="B28" s="160" t="s">
        <v>81</v>
      </c>
      <c r="C28" s="134"/>
      <c r="D28" s="135"/>
      <c r="E28" s="136"/>
      <c r="F28" s="137"/>
      <c r="G28" s="137"/>
      <c r="H28" s="137"/>
      <c r="I28" s="137"/>
      <c r="J28" s="137"/>
      <c r="K28" s="138"/>
      <c r="L28" s="139"/>
      <c r="M28" s="140"/>
      <c r="N28" s="154"/>
      <c r="O28" s="155"/>
      <c r="P28" s="155"/>
      <c r="Q28" s="155"/>
      <c r="R28" s="162"/>
      <c r="S28" s="163"/>
      <c r="T28" s="163"/>
      <c r="U28" s="163"/>
      <c r="V28" s="163"/>
      <c r="W28" s="161"/>
      <c r="X28" s="162"/>
      <c r="Y28" s="161"/>
      <c r="Z28" s="162">
        <v>5.2199999999999996E-2</v>
      </c>
      <c r="AA28" s="164">
        <f t="shared" si="3"/>
        <v>6.6799823341899991</v>
      </c>
      <c r="AB28" s="161">
        <v>6.813572334189999</v>
      </c>
      <c r="AC28" s="162"/>
      <c r="AD28" s="161"/>
      <c r="AE28" s="162"/>
      <c r="AF28" s="161"/>
      <c r="AG28" s="162"/>
      <c r="AH28" s="161"/>
      <c r="AI28" s="162"/>
      <c r="AJ28" s="163"/>
      <c r="AK28" s="162"/>
      <c r="AL28" s="161"/>
      <c r="AM28" s="162"/>
      <c r="AN28" s="161"/>
      <c r="AO28" s="162"/>
      <c r="AP28" s="161"/>
      <c r="AQ28" s="165">
        <v>13</v>
      </c>
      <c r="AR28" s="166">
        <v>7.4705912899999998</v>
      </c>
      <c r="AS28" s="162"/>
      <c r="AT28" s="161"/>
      <c r="AU28" s="162"/>
      <c r="AV28" s="167"/>
      <c r="AW28" s="168"/>
      <c r="AX28" s="168"/>
      <c r="AY28" s="168"/>
      <c r="AZ28" s="162"/>
      <c r="BA28" s="161"/>
      <c r="BB28" s="169"/>
      <c r="BC28" s="170">
        <v>10.644</v>
      </c>
      <c r="BD28" s="153">
        <f t="shared" si="2"/>
        <v>139.70586497818999</v>
      </c>
      <c r="BE28" s="154">
        <f t="shared" si="0"/>
        <v>85.698701354000008</v>
      </c>
      <c r="BF28" s="155">
        <f t="shared" si="1"/>
        <v>15.225</v>
      </c>
      <c r="BG28" s="149">
        <f t="shared" si="4"/>
        <v>13.853999999999999</v>
      </c>
      <c r="BH28" s="154"/>
      <c r="BI28" s="155"/>
      <c r="BJ28" s="155">
        <v>5.0000000000000001E-3</v>
      </c>
      <c r="BK28" s="155">
        <v>4.7948314349999999</v>
      </c>
      <c r="BL28" s="155">
        <v>2.3800000000000002E-2</v>
      </c>
      <c r="BM28" s="155">
        <v>39.702869919000001</v>
      </c>
      <c r="BN28" s="155"/>
      <c r="BO28" s="155"/>
      <c r="BP28" s="171"/>
      <c r="BQ28" s="155"/>
      <c r="BR28" s="155">
        <v>38</v>
      </c>
      <c r="BS28" s="167">
        <v>41.201000000000001</v>
      </c>
      <c r="BT28" s="154"/>
      <c r="BU28" s="155"/>
      <c r="BV28" s="155"/>
      <c r="BW28" s="155"/>
      <c r="BX28" s="159">
        <v>1</v>
      </c>
      <c r="BY28" s="155">
        <v>1.371</v>
      </c>
      <c r="BZ28" s="155">
        <v>95</v>
      </c>
      <c r="CA28" s="167">
        <v>13.853999999999999</v>
      </c>
    </row>
    <row r="29" spans="1:79">
      <c r="A29" s="132"/>
      <c r="B29" s="160" t="s">
        <v>82</v>
      </c>
      <c r="C29" s="134"/>
      <c r="D29" s="135"/>
      <c r="E29" s="136"/>
      <c r="F29" s="137"/>
      <c r="G29" s="137"/>
      <c r="H29" s="137"/>
      <c r="I29" s="137"/>
      <c r="J29" s="137"/>
      <c r="K29" s="138"/>
      <c r="L29" s="139"/>
      <c r="M29" s="140"/>
      <c r="N29" s="154"/>
      <c r="O29" s="155"/>
      <c r="P29" s="155"/>
      <c r="Q29" s="155"/>
      <c r="R29" s="162"/>
      <c r="S29" s="163"/>
      <c r="T29" s="163"/>
      <c r="U29" s="163"/>
      <c r="V29" s="163"/>
      <c r="W29" s="161"/>
      <c r="X29" s="162"/>
      <c r="Y29" s="161"/>
      <c r="Z29" s="162">
        <v>5.0699999999999995E-2</v>
      </c>
      <c r="AA29" s="164">
        <f t="shared" si="3"/>
        <v>7.6573666568999998</v>
      </c>
      <c r="AB29" s="161">
        <v>7.7909566568999997</v>
      </c>
      <c r="AC29" s="162"/>
      <c r="AD29" s="161"/>
      <c r="AE29" s="162"/>
      <c r="AF29" s="161"/>
      <c r="AG29" s="162"/>
      <c r="AH29" s="161"/>
      <c r="AI29" s="162"/>
      <c r="AJ29" s="163"/>
      <c r="AK29" s="162"/>
      <c r="AL29" s="161"/>
      <c r="AM29" s="162"/>
      <c r="AN29" s="161"/>
      <c r="AO29" s="162"/>
      <c r="AP29" s="161"/>
      <c r="AQ29" s="165"/>
      <c r="AR29" s="166"/>
      <c r="AS29" s="162"/>
      <c r="AT29" s="161"/>
      <c r="AU29" s="162"/>
      <c r="AV29" s="167"/>
      <c r="AW29" s="168"/>
      <c r="AX29" s="168"/>
      <c r="AY29" s="168"/>
      <c r="AZ29" s="162"/>
      <c r="BA29" s="161"/>
      <c r="BB29" s="169"/>
      <c r="BC29" s="170">
        <v>2.1440000000000001</v>
      </c>
      <c r="BD29" s="153">
        <f t="shared" si="2"/>
        <v>60.356131020500001</v>
      </c>
      <c r="BE29" s="154">
        <f t="shared" si="0"/>
        <v>27.519174363600001</v>
      </c>
      <c r="BF29" s="155">
        <f t="shared" si="1"/>
        <v>12.407999999999999</v>
      </c>
      <c r="BG29" s="149">
        <f t="shared" si="4"/>
        <v>10.494</v>
      </c>
      <c r="BH29" s="154"/>
      <c r="BI29" s="155"/>
      <c r="BJ29" s="155">
        <v>1.5E-3</v>
      </c>
      <c r="BK29" s="155">
        <v>1.4384494305</v>
      </c>
      <c r="BL29" s="155">
        <v>1.5E-3</v>
      </c>
      <c r="BM29" s="155">
        <v>2.5887249331</v>
      </c>
      <c r="BN29" s="155"/>
      <c r="BO29" s="155"/>
      <c r="BP29" s="171"/>
      <c r="BQ29" s="155"/>
      <c r="BR29" s="155">
        <v>23</v>
      </c>
      <c r="BS29" s="167">
        <v>23.492000000000001</v>
      </c>
      <c r="BT29" s="154"/>
      <c r="BU29" s="155"/>
      <c r="BV29" s="155">
        <v>2</v>
      </c>
      <c r="BW29" s="155">
        <v>0.54300000000000004</v>
      </c>
      <c r="BX29" s="159">
        <v>1</v>
      </c>
      <c r="BY29" s="155">
        <v>1.371</v>
      </c>
      <c r="BZ29" s="155">
        <v>30</v>
      </c>
      <c r="CA29" s="167">
        <v>10.494</v>
      </c>
    </row>
    <row r="30" spans="1:79">
      <c r="A30" s="132"/>
      <c r="B30" s="160" t="s">
        <v>83</v>
      </c>
      <c r="C30" s="134"/>
      <c r="D30" s="135"/>
      <c r="E30" s="136"/>
      <c r="F30" s="137"/>
      <c r="G30" s="137"/>
      <c r="H30" s="137"/>
      <c r="I30" s="137"/>
      <c r="J30" s="137"/>
      <c r="K30" s="138"/>
      <c r="L30" s="139"/>
      <c r="M30" s="140"/>
      <c r="N30" s="154"/>
      <c r="O30" s="155"/>
      <c r="P30" s="155"/>
      <c r="Q30" s="155"/>
      <c r="R30" s="162"/>
      <c r="S30" s="163"/>
      <c r="T30" s="163">
        <v>12</v>
      </c>
      <c r="U30" s="163">
        <v>1.6238076960000001</v>
      </c>
      <c r="V30" s="163"/>
      <c r="W30" s="161"/>
      <c r="X30" s="162"/>
      <c r="Y30" s="161"/>
      <c r="Z30" s="162">
        <v>1.6199999999999999E-2</v>
      </c>
      <c r="AA30" s="164">
        <f t="shared" si="3"/>
        <v>2.3367959287200004</v>
      </c>
      <c r="AB30" s="161">
        <v>2.4703859287200003</v>
      </c>
      <c r="AC30" s="162"/>
      <c r="AD30" s="161"/>
      <c r="AE30" s="162"/>
      <c r="AF30" s="161"/>
      <c r="AG30" s="162">
        <v>3.0000000000000001E-3</v>
      </c>
      <c r="AH30" s="161">
        <v>10.717554567000001</v>
      </c>
      <c r="AI30" s="162">
        <v>3</v>
      </c>
      <c r="AJ30" s="163">
        <v>2.3306657130000001</v>
      </c>
      <c r="AK30" s="162">
        <v>1.5E-3</v>
      </c>
      <c r="AL30" s="161">
        <v>1.8282259995000001</v>
      </c>
      <c r="AM30" s="162"/>
      <c r="AN30" s="161"/>
      <c r="AO30" s="162"/>
      <c r="AP30" s="161"/>
      <c r="AQ30" s="165">
        <v>3</v>
      </c>
      <c r="AR30" s="166">
        <v>2.297094</v>
      </c>
      <c r="AS30" s="162"/>
      <c r="AT30" s="161"/>
      <c r="AU30" s="162"/>
      <c r="AV30" s="167"/>
      <c r="AW30" s="168"/>
      <c r="AX30" s="168"/>
      <c r="AY30" s="168"/>
      <c r="AZ30" s="162"/>
      <c r="BA30" s="161"/>
      <c r="BB30" s="169">
        <v>10.215</v>
      </c>
      <c r="BC30" s="170">
        <v>0.46200000000000002</v>
      </c>
      <c r="BD30" s="153">
        <f t="shared" si="2"/>
        <v>58.280342275670009</v>
      </c>
      <c r="BE30" s="154">
        <f t="shared" si="0"/>
        <v>9.1326083714500008</v>
      </c>
      <c r="BF30" s="155">
        <f t="shared" si="1"/>
        <v>10.917</v>
      </c>
      <c r="BG30" s="149">
        <f t="shared" si="4"/>
        <v>6.2859999999999996</v>
      </c>
      <c r="BH30" s="154"/>
      <c r="BI30" s="155"/>
      <c r="BJ30" s="155">
        <v>1.5E-3</v>
      </c>
      <c r="BK30" s="155">
        <v>0.89060837145000005</v>
      </c>
      <c r="BL30" s="155"/>
      <c r="BM30" s="155"/>
      <c r="BN30" s="155"/>
      <c r="BO30" s="155"/>
      <c r="BP30" s="171"/>
      <c r="BQ30" s="155"/>
      <c r="BR30" s="155">
        <v>10</v>
      </c>
      <c r="BS30" s="167">
        <v>8.2420000000000009</v>
      </c>
      <c r="BT30" s="154"/>
      <c r="BU30" s="155"/>
      <c r="BV30" s="155"/>
      <c r="BW30" s="155"/>
      <c r="BX30" s="159">
        <v>2</v>
      </c>
      <c r="BY30" s="155">
        <v>4.6310000000000002</v>
      </c>
      <c r="BZ30" s="155">
        <v>46</v>
      </c>
      <c r="CA30" s="167">
        <v>6.2859999999999996</v>
      </c>
    </row>
    <row r="31" spans="1:79">
      <c r="A31" s="132"/>
      <c r="B31" s="160" t="s">
        <v>84</v>
      </c>
      <c r="C31" s="134"/>
      <c r="D31" s="135"/>
      <c r="E31" s="136"/>
      <c r="F31" s="137"/>
      <c r="G31" s="137"/>
      <c r="H31" s="137"/>
      <c r="I31" s="137"/>
      <c r="J31" s="137"/>
      <c r="K31" s="138"/>
      <c r="L31" s="139"/>
      <c r="M31" s="140"/>
      <c r="N31" s="154"/>
      <c r="O31" s="155"/>
      <c r="P31" s="155"/>
      <c r="Q31" s="155"/>
      <c r="R31" s="162"/>
      <c r="S31" s="163"/>
      <c r="T31" s="163">
        <v>4</v>
      </c>
      <c r="U31" s="163">
        <v>0.54126923199999999</v>
      </c>
      <c r="V31" s="163"/>
      <c r="W31" s="161"/>
      <c r="X31" s="162"/>
      <c r="Y31" s="161"/>
      <c r="Z31" s="162">
        <v>3.8699999999999998E-2</v>
      </c>
      <c r="AA31" s="164">
        <f t="shared" si="3"/>
        <v>9.4793421603599999</v>
      </c>
      <c r="AB31" s="161">
        <v>9.6129321603599998</v>
      </c>
      <c r="AC31" s="162"/>
      <c r="AD31" s="161"/>
      <c r="AE31" s="162"/>
      <c r="AF31" s="161"/>
      <c r="AG31" s="162"/>
      <c r="AH31" s="161"/>
      <c r="AI31" s="162">
        <v>8</v>
      </c>
      <c r="AJ31" s="163">
        <v>5.1656632499999997</v>
      </c>
      <c r="AK31" s="162"/>
      <c r="AL31" s="161"/>
      <c r="AM31" s="162"/>
      <c r="AN31" s="161"/>
      <c r="AO31" s="162"/>
      <c r="AP31" s="161"/>
      <c r="AQ31" s="165">
        <v>8</v>
      </c>
      <c r="AR31" s="166">
        <v>1.0277109120000001</v>
      </c>
      <c r="AS31" s="162"/>
      <c r="AT31" s="161"/>
      <c r="AU31" s="162"/>
      <c r="AV31" s="167"/>
      <c r="AW31" s="168"/>
      <c r="AX31" s="168"/>
      <c r="AY31" s="168"/>
      <c r="AZ31" s="162"/>
      <c r="BA31" s="161"/>
      <c r="BB31" s="169"/>
      <c r="BC31" s="170"/>
      <c r="BD31" s="153">
        <f t="shared" si="2"/>
        <v>31.690575554359999</v>
      </c>
      <c r="BE31" s="154">
        <f t="shared" si="0"/>
        <v>9.6969999999999992</v>
      </c>
      <c r="BF31" s="155">
        <f t="shared" si="1"/>
        <v>4.4000000000000004</v>
      </c>
      <c r="BG31" s="149">
        <f t="shared" si="4"/>
        <v>1.246</v>
      </c>
      <c r="BH31" s="154"/>
      <c r="BI31" s="155"/>
      <c r="BJ31" s="155"/>
      <c r="BK31" s="155"/>
      <c r="BL31" s="155"/>
      <c r="BM31" s="155"/>
      <c r="BN31" s="155"/>
      <c r="BO31" s="155"/>
      <c r="BP31" s="171"/>
      <c r="BQ31" s="155"/>
      <c r="BR31" s="155">
        <v>12</v>
      </c>
      <c r="BS31" s="167">
        <v>9.6969999999999992</v>
      </c>
      <c r="BT31" s="154"/>
      <c r="BU31" s="155"/>
      <c r="BV31" s="155"/>
      <c r="BW31" s="155"/>
      <c r="BX31" s="159">
        <v>2</v>
      </c>
      <c r="BY31" s="155">
        <v>3.1539999999999999</v>
      </c>
      <c r="BZ31" s="155">
        <v>6</v>
      </c>
      <c r="CA31" s="167">
        <v>1.246</v>
      </c>
    </row>
    <row r="32" spans="1:79">
      <c r="A32" s="132"/>
      <c r="B32" s="160" t="s">
        <v>85</v>
      </c>
      <c r="C32" s="134"/>
      <c r="D32" s="135"/>
      <c r="E32" s="136"/>
      <c r="F32" s="137"/>
      <c r="G32" s="137"/>
      <c r="H32" s="137"/>
      <c r="I32" s="137"/>
      <c r="J32" s="137"/>
      <c r="K32" s="138"/>
      <c r="L32" s="139"/>
      <c r="M32" s="140"/>
      <c r="N32" s="154"/>
      <c r="O32" s="155"/>
      <c r="P32" s="155"/>
      <c r="Q32" s="155"/>
      <c r="R32" s="162"/>
      <c r="S32" s="163"/>
      <c r="T32" s="163"/>
      <c r="U32" s="163"/>
      <c r="V32" s="163"/>
      <c r="W32" s="161"/>
      <c r="X32" s="162"/>
      <c r="Y32" s="161"/>
      <c r="Z32" s="162">
        <v>1.1999999999999999E-3</v>
      </c>
      <c r="AA32" s="164">
        <f t="shared" si="3"/>
        <v>5.2850306399999991E-2</v>
      </c>
      <c r="AB32" s="161">
        <v>0.18644030639999998</v>
      </c>
      <c r="AC32" s="162"/>
      <c r="AD32" s="161"/>
      <c r="AE32" s="162"/>
      <c r="AF32" s="161"/>
      <c r="AG32" s="162"/>
      <c r="AH32" s="161"/>
      <c r="AI32" s="162"/>
      <c r="AJ32" s="163"/>
      <c r="AK32" s="162"/>
      <c r="AL32" s="161"/>
      <c r="AM32" s="162"/>
      <c r="AN32" s="161"/>
      <c r="AO32" s="162"/>
      <c r="AP32" s="161"/>
      <c r="AQ32" s="165"/>
      <c r="AR32" s="166"/>
      <c r="AS32" s="162"/>
      <c r="AT32" s="161"/>
      <c r="AU32" s="162"/>
      <c r="AV32" s="167"/>
      <c r="AW32" s="168"/>
      <c r="AX32" s="168"/>
      <c r="AY32" s="168"/>
      <c r="AZ32" s="162"/>
      <c r="BA32" s="161"/>
      <c r="BB32" s="169"/>
      <c r="BC32" s="170"/>
      <c r="BD32" s="153">
        <f t="shared" si="2"/>
        <v>8.9744403063999982</v>
      </c>
      <c r="BE32" s="154">
        <f t="shared" si="0"/>
        <v>7.4459999999999997</v>
      </c>
      <c r="BF32" s="155">
        <f t="shared" si="1"/>
        <v>0.67100000000000004</v>
      </c>
      <c r="BG32" s="149">
        <f t="shared" si="4"/>
        <v>0.67100000000000004</v>
      </c>
      <c r="BH32" s="154"/>
      <c r="BI32" s="155"/>
      <c r="BJ32" s="155"/>
      <c r="BK32" s="155"/>
      <c r="BL32" s="155"/>
      <c r="BM32" s="155"/>
      <c r="BN32" s="155"/>
      <c r="BO32" s="155"/>
      <c r="BP32" s="171"/>
      <c r="BQ32" s="155"/>
      <c r="BR32" s="155">
        <v>7</v>
      </c>
      <c r="BS32" s="167">
        <v>7.4459999999999997</v>
      </c>
      <c r="BT32" s="154"/>
      <c r="BU32" s="155"/>
      <c r="BV32" s="155"/>
      <c r="BW32" s="155"/>
      <c r="BX32" s="159"/>
      <c r="BY32" s="155"/>
      <c r="BZ32" s="155">
        <v>7</v>
      </c>
      <c r="CA32" s="167">
        <v>0.67100000000000004</v>
      </c>
    </row>
    <row r="33" spans="1:79">
      <c r="A33" s="132"/>
      <c r="B33" s="160" t="s">
        <v>86</v>
      </c>
      <c r="C33" s="134"/>
      <c r="D33" s="135"/>
      <c r="E33" s="136"/>
      <c r="F33" s="137"/>
      <c r="G33" s="137"/>
      <c r="H33" s="137"/>
      <c r="I33" s="137"/>
      <c r="J33" s="137"/>
      <c r="K33" s="138"/>
      <c r="L33" s="139"/>
      <c r="M33" s="140"/>
      <c r="N33" s="154"/>
      <c r="O33" s="155"/>
      <c r="P33" s="155"/>
      <c r="Q33" s="155"/>
      <c r="R33" s="162"/>
      <c r="S33" s="163"/>
      <c r="T33" s="163"/>
      <c r="U33" s="163"/>
      <c r="V33" s="163"/>
      <c r="W33" s="161"/>
      <c r="X33" s="162">
        <f>0.048+0.009</f>
        <v>5.7000000000000002E-2</v>
      </c>
      <c r="Y33" s="161">
        <f>31.138+4.13</f>
        <v>35.268000000000001</v>
      </c>
      <c r="Z33" s="162"/>
      <c r="AA33" s="164"/>
      <c r="AB33" s="161"/>
      <c r="AC33" s="162"/>
      <c r="AD33" s="161"/>
      <c r="AE33" s="162"/>
      <c r="AF33" s="161"/>
      <c r="AG33" s="162"/>
      <c r="AH33" s="161"/>
      <c r="AI33" s="162"/>
      <c r="AJ33" s="163"/>
      <c r="AK33" s="162"/>
      <c r="AL33" s="161"/>
      <c r="AM33" s="162">
        <v>2</v>
      </c>
      <c r="AN33" s="161">
        <v>11.99561018</v>
      </c>
      <c r="AO33" s="162"/>
      <c r="AP33" s="161"/>
      <c r="AQ33" s="165">
        <v>2</v>
      </c>
      <c r="AR33" s="166">
        <v>0.27352948799999999</v>
      </c>
      <c r="AS33" s="162"/>
      <c r="AT33" s="161"/>
      <c r="AU33" s="162"/>
      <c r="AV33" s="167"/>
      <c r="AW33" s="168"/>
      <c r="AX33" s="168"/>
      <c r="AY33" s="168"/>
      <c r="AZ33" s="162"/>
      <c r="BA33" s="161"/>
      <c r="BB33" s="169"/>
      <c r="BC33" s="170">
        <f>10.67+0.586</f>
        <v>11.256</v>
      </c>
      <c r="BD33" s="153">
        <f t="shared" si="2"/>
        <v>138.21108410650001</v>
      </c>
      <c r="BE33" s="154">
        <f t="shared" si="0"/>
        <v>51.032944438500003</v>
      </c>
      <c r="BF33" s="155">
        <f t="shared" si="1"/>
        <v>21.442</v>
      </c>
      <c r="BG33" s="149">
        <f t="shared" si="4"/>
        <v>6.9429999999999996</v>
      </c>
      <c r="BH33" s="154">
        <v>2.5000000000000001E-3</v>
      </c>
      <c r="BI33" s="155">
        <v>1.4208144</v>
      </c>
      <c r="BJ33" s="155">
        <v>1.6500000000000001E-2</v>
      </c>
      <c r="BK33" s="155">
        <v>15.2821300385</v>
      </c>
      <c r="BL33" s="155"/>
      <c r="BM33" s="155"/>
      <c r="BN33" s="155">
        <v>2E-3</v>
      </c>
      <c r="BO33" s="155">
        <v>1.254</v>
      </c>
      <c r="BP33" s="171"/>
      <c r="BQ33" s="155"/>
      <c r="BR33" s="155">
        <v>35</v>
      </c>
      <c r="BS33" s="167">
        <v>33.076000000000001</v>
      </c>
      <c r="BT33" s="154">
        <v>4.2999999999999997E-2</v>
      </c>
      <c r="BU33" s="155">
        <v>6.1740000000000004</v>
      </c>
      <c r="BV33" s="155">
        <v>2</v>
      </c>
      <c r="BW33" s="155">
        <v>0.55700000000000005</v>
      </c>
      <c r="BX33" s="159">
        <v>5</v>
      </c>
      <c r="BY33" s="155">
        <v>7.7679999999999998</v>
      </c>
      <c r="BZ33" s="155">
        <v>63</v>
      </c>
      <c r="CA33" s="167">
        <v>6.9429999999999996</v>
      </c>
    </row>
    <row r="34" spans="1:79">
      <c r="A34" s="132"/>
      <c r="B34" s="160" t="s">
        <v>87</v>
      </c>
      <c r="C34" s="134"/>
      <c r="D34" s="135"/>
      <c r="E34" s="136"/>
      <c r="F34" s="137"/>
      <c r="G34" s="137"/>
      <c r="H34" s="137"/>
      <c r="I34" s="137"/>
      <c r="J34" s="137"/>
      <c r="K34" s="138"/>
      <c r="L34" s="139"/>
      <c r="M34" s="140"/>
      <c r="N34" s="154"/>
      <c r="O34" s="155"/>
      <c r="P34" s="155"/>
      <c r="Q34" s="155"/>
      <c r="R34" s="162"/>
      <c r="S34" s="163"/>
      <c r="T34" s="163"/>
      <c r="U34" s="163"/>
      <c r="V34" s="163"/>
      <c r="W34" s="161"/>
      <c r="X34" s="162"/>
      <c r="Y34" s="161"/>
      <c r="Z34" s="162">
        <v>2.75E-2</v>
      </c>
      <c r="AA34" s="164">
        <f t="shared" si="3"/>
        <v>3.2400173250000002</v>
      </c>
      <c r="AB34" s="161">
        <v>3.373607325</v>
      </c>
      <c r="AC34" s="162"/>
      <c r="AD34" s="161"/>
      <c r="AE34" s="162"/>
      <c r="AF34" s="161"/>
      <c r="AG34" s="162"/>
      <c r="AH34" s="161"/>
      <c r="AI34" s="162"/>
      <c r="AJ34" s="163"/>
      <c r="AK34" s="162"/>
      <c r="AL34" s="161"/>
      <c r="AM34" s="162"/>
      <c r="AN34" s="161"/>
      <c r="AO34" s="162"/>
      <c r="AP34" s="161"/>
      <c r="AQ34" s="165"/>
      <c r="AR34" s="166"/>
      <c r="AS34" s="162"/>
      <c r="AT34" s="161"/>
      <c r="AU34" s="162"/>
      <c r="AV34" s="167"/>
      <c r="AW34" s="168"/>
      <c r="AX34" s="168"/>
      <c r="AY34" s="168"/>
      <c r="AZ34" s="162"/>
      <c r="BA34" s="161"/>
      <c r="BB34" s="169"/>
      <c r="BC34" s="170">
        <v>1.43</v>
      </c>
      <c r="BD34" s="153">
        <f t="shared" si="2"/>
        <v>109.2919991088</v>
      </c>
      <c r="BE34" s="154">
        <f t="shared" si="0"/>
        <v>55.428391783799995</v>
      </c>
      <c r="BF34" s="155">
        <f t="shared" si="1"/>
        <v>25.414000000000001</v>
      </c>
      <c r="BG34" s="149">
        <f t="shared" si="4"/>
        <v>23.646000000000001</v>
      </c>
      <c r="BH34" s="154"/>
      <c r="BI34" s="155"/>
      <c r="BJ34" s="155"/>
      <c r="BK34" s="155"/>
      <c r="BL34" s="155">
        <v>7.0000000000000001E-3</v>
      </c>
      <c r="BM34" s="155">
        <v>5.7963917837999999</v>
      </c>
      <c r="BN34" s="155"/>
      <c r="BO34" s="155"/>
      <c r="BP34" s="171"/>
      <c r="BQ34" s="155"/>
      <c r="BR34" s="155">
        <v>48</v>
      </c>
      <c r="BS34" s="167">
        <v>49.631999999999998</v>
      </c>
      <c r="BT34" s="154">
        <v>1E-3</v>
      </c>
      <c r="BU34" s="155">
        <v>0.10100000000000001</v>
      </c>
      <c r="BV34" s="155">
        <v>2</v>
      </c>
      <c r="BW34" s="155">
        <v>0.29599999999999999</v>
      </c>
      <c r="BX34" s="159">
        <v>1</v>
      </c>
      <c r="BY34" s="155">
        <v>1.371</v>
      </c>
      <c r="BZ34" s="155">
        <v>135</v>
      </c>
      <c r="CA34" s="167">
        <v>23.646000000000001</v>
      </c>
    </row>
    <row r="35" spans="1:79">
      <c r="A35" s="132"/>
      <c r="B35" s="160" t="s">
        <v>88</v>
      </c>
      <c r="C35" s="134"/>
      <c r="D35" s="135"/>
      <c r="E35" s="136"/>
      <c r="F35" s="137"/>
      <c r="G35" s="137"/>
      <c r="H35" s="137"/>
      <c r="I35" s="137"/>
      <c r="J35" s="137"/>
      <c r="K35" s="138"/>
      <c r="L35" s="139"/>
      <c r="M35" s="140"/>
      <c r="N35" s="154"/>
      <c r="O35" s="155"/>
      <c r="P35" s="155">
        <v>1.1000000000000001E-3</v>
      </c>
      <c r="Q35" s="155">
        <v>0.80407800000000007</v>
      </c>
      <c r="R35" s="162"/>
      <c r="S35" s="163"/>
      <c r="T35" s="163"/>
      <c r="U35" s="163"/>
      <c r="V35" s="163"/>
      <c r="W35" s="161"/>
      <c r="X35" s="162"/>
      <c r="Y35" s="161"/>
      <c r="Z35" s="162">
        <v>2.4199999999999999E-2</v>
      </c>
      <c r="AA35" s="164">
        <f t="shared" si="3"/>
        <v>2.835184446</v>
      </c>
      <c r="AB35" s="161">
        <v>2.9687744459999998</v>
      </c>
      <c r="AC35" s="162"/>
      <c r="AD35" s="161"/>
      <c r="AE35" s="162">
        <v>1.2E-2</v>
      </c>
      <c r="AF35" s="161">
        <v>6.6274800000000003</v>
      </c>
      <c r="AG35" s="162"/>
      <c r="AH35" s="161"/>
      <c r="AI35" s="162"/>
      <c r="AJ35" s="163"/>
      <c r="AK35" s="162"/>
      <c r="AL35" s="161"/>
      <c r="AM35" s="162">
        <v>2</v>
      </c>
      <c r="AN35" s="161">
        <v>3.8019847599999999</v>
      </c>
      <c r="AO35" s="162"/>
      <c r="AP35" s="161"/>
      <c r="AQ35" s="165">
        <v>12</v>
      </c>
      <c r="AR35" s="166">
        <v>13.606126499999998</v>
      </c>
      <c r="AS35" s="162"/>
      <c r="AT35" s="161"/>
      <c r="AU35" s="162"/>
      <c r="AV35" s="167"/>
      <c r="AW35" s="168"/>
      <c r="AX35" s="168"/>
      <c r="AY35" s="168"/>
      <c r="AZ35" s="162"/>
      <c r="BA35" s="161"/>
      <c r="BB35" s="169"/>
      <c r="BC35" s="170">
        <v>3.0339999999999998</v>
      </c>
      <c r="BD35" s="153">
        <f t="shared" si="2"/>
        <v>130.35644370599999</v>
      </c>
      <c r="BE35" s="154">
        <f t="shared" si="0"/>
        <v>34.573</v>
      </c>
      <c r="BF35" s="155">
        <f t="shared" si="1"/>
        <v>34.066000000000003</v>
      </c>
      <c r="BG35" s="149">
        <f t="shared" si="4"/>
        <v>30.875</v>
      </c>
      <c r="BH35" s="154"/>
      <c r="BI35" s="155"/>
      <c r="BJ35" s="155"/>
      <c r="BK35" s="155"/>
      <c r="BL35" s="155"/>
      <c r="BM35" s="155"/>
      <c r="BN35" s="155">
        <v>5.0000000000000001E-3</v>
      </c>
      <c r="BO35" s="155">
        <v>4.0270000000000001</v>
      </c>
      <c r="BP35" s="171"/>
      <c r="BQ35" s="155"/>
      <c r="BR35" s="155">
        <v>19</v>
      </c>
      <c r="BS35" s="167">
        <v>30.545999999999999</v>
      </c>
      <c r="BT35" s="154">
        <v>1E-3</v>
      </c>
      <c r="BU35" s="155">
        <v>0.10100000000000001</v>
      </c>
      <c r="BV35" s="155">
        <v>9</v>
      </c>
      <c r="BW35" s="155">
        <v>3.09</v>
      </c>
      <c r="BX35" s="159"/>
      <c r="BY35" s="155"/>
      <c r="BZ35" s="155">
        <v>230</v>
      </c>
      <c r="CA35" s="167">
        <v>30.875</v>
      </c>
    </row>
    <row r="36" spans="1:79">
      <c r="A36" s="132"/>
      <c r="B36" s="160" t="s">
        <v>89</v>
      </c>
      <c r="C36" s="134"/>
      <c r="D36" s="135"/>
      <c r="E36" s="136"/>
      <c r="F36" s="137"/>
      <c r="G36" s="137"/>
      <c r="H36" s="137"/>
      <c r="I36" s="137"/>
      <c r="J36" s="137"/>
      <c r="K36" s="138"/>
      <c r="L36" s="139"/>
      <c r="M36" s="140"/>
      <c r="N36" s="154"/>
      <c r="O36" s="155"/>
      <c r="P36" s="155">
        <v>1.9999999999999997E-2</v>
      </c>
      <c r="Q36" s="155">
        <v>11.346170398000002</v>
      </c>
      <c r="R36" s="162"/>
      <c r="S36" s="163"/>
      <c r="T36" s="163"/>
      <c r="U36" s="163"/>
      <c r="V36" s="163"/>
      <c r="W36" s="161"/>
      <c r="X36" s="162"/>
      <c r="Y36" s="161"/>
      <c r="Z36" s="162">
        <v>1.54E-2</v>
      </c>
      <c r="AA36" s="164">
        <f t="shared" si="3"/>
        <v>1.755630102</v>
      </c>
      <c r="AB36" s="161">
        <v>1.8892201020000001</v>
      </c>
      <c r="AC36" s="162"/>
      <c r="AD36" s="161"/>
      <c r="AE36" s="162"/>
      <c r="AF36" s="161"/>
      <c r="AG36" s="162"/>
      <c r="AH36" s="161"/>
      <c r="AI36" s="162"/>
      <c r="AJ36" s="163"/>
      <c r="AK36" s="162"/>
      <c r="AL36" s="161"/>
      <c r="AM36" s="162"/>
      <c r="AN36" s="161"/>
      <c r="AO36" s="162"/>
      <c r="AP36" s="161"/>
      <c r="AQ36" s="165"/>
      <c r="AR36" s="166"/>
      <c r="AS36" s="162"/>
      <c r="AT36" s="161"/>
      <c r="AU36" s="162"/>
      <c r="AV36" s="167"/>
      <c r="AW36" s="168"/>
      <c r="AX36" s="168"/>
      <c r="AY36" s="168"/>
      <c r="AZ36" s="162"/>
      <c r="BA36" s="161"/>
      <c r="BB36" s="169"/>
      <c r="BC36" s="170">
        <v>1.8580000000000001</v>
      </c>
      <c r="BD36" s="153">
        <f t="shared" si="2"/>
        <v>84.694825681495004</v>
      </c>
      <c r="BE36" s="154">
        <f t="shared" si="0"/>
        <v>35.984435181495002</v>
      </c>
      <c r="BF36" s="155">
        <f t="shared" si="1"/>
        <v>21.577999999999999</v>
      </c>
      <c r="BG36" s="149">
        <f t="shared" si="4"/>
        <v>12.039</v>
      </c>
      <c r="BH36" s="154">
        <v>1.2500000000000001E-2</v>
      </c>
      <c r="BI36" s="155">
        <v>6.6735122223449999</v>
      </c>
      <c r="BJ36" s="155">
        <v>9.4999999999999998E-3</v>
      </c>
      <c r="BK36" s="155">
        <v>6.78692295915</v>
      </c>
      <c r="BL36" s="155"/>
      <c r="BM36" s="155"/>
      <c r="BN36" s="155">
        <v>8.0000000000000002E-3</v>
      </c>
      <c r="BO36" s="155">
        <v>6.9640000000000004</v>
      </c>
      <c r="BP36" s="171"/>
      <c r="BQ36" s="155"/>
      <c r="BR36" s="155">
        <v>17</v>
      </c>
      <c r="BS36" s="167">
        <v>15.56</v>
      </c>
      <c r="BT36" s="154">
        <v>8.9999999999999993E-3</v>
      </c>
      <c r="BU36" s="155">
        <v>7.431</v>
      </c>
      <c r="BV36" s="155">
        <v>2</v>
      </c>
      <c r="BW36" s="155">
        <v>0.32500000000000001</v>
      </c>
      <c r="BX36" s="159">
        <v>1</v>
      </c>
      <c r="BY36" s="155">
        <v>1.7829999999999999</v>
      </c>
      <c r="BZ36" s="155">
        <v>84</v>
      </c>
      <c r="CA36" s="167">
        <v>12.039</v>
      </c>
    </row>
    <row r="37" spans="1:79">
      <c r="A37" s="132"/>
      <c r="B37" s="160" t="s">
        <v>90</v>
      </c>
      <c r="C37" s="134"/>
      <c r="D37" s="135"/>
      <c r="E37" s="136"/>
      <c r="F37" s="137"/>
      <c r="G37" s="137"/>
      <c r="H37" s="137"/>
      <c r="I37" s="137"/>
      <c r="J37" s="137"/>
      <c r="K37" s="138"/>
      <c r="L37" s="139"/>
      <c r="M37" s="140"/>
      <c r="N37" s="154"/>
      <c r="O37" s="155"/>
      <c r="P37" s="155"/>
      <c r="Q37" s="155"/>
      <c r="R37" s="162"/>
      <c r="S37" s="163"/>
      <c r="T37" s="163">
        <v>10</v>
      </c>
      <c r="U37" s="163">
        <v>0.9434822463000001</v>
      </c>
      <c r="V37" s="163"/>
      <c r="W37" s="161"/>
      <c r="X37" s="162"/>
      <c r="Y37" s="161"/>
      <c r="Z37" s="162">
        <v>5.0000000000000001E-3</v>
      </c>
      <c r="AA37" s="164">
        <f t="shared" si="3"/>
        <v>0.37843771450000008</v>
      </c>
      <c r="AB37" s="161">
        <v>0.51202771450000006</v>
      </c>
      <c r="AC37" s="162"/>
      <c r="AD37" s="161"/>
      <c r="AE37" s="162"/>
      <c r="AF37" s="161"/>
      <c r="AG37" s="162">
        <v>1.5E-3</v>
      </c>
      <c r="AH37" s="161">
        <v>1.9208429999999999</v>
      </c>
      <c r="AI37" s="162"/>
      <c r="AJ37" s="163"/>
      <c r="AK37" s="162"/>
      <c r="AL37" s="161"/>
      <c r="AM37" s="162"/>
      <c r="AN37" s="161"/>
      <c r="AO37" s="162"/>
      <c r="AP37" s="161"/>
      <c r="AQ37" s="165"/>
      <c r="AR37" s="166"/>
      <c r="AS37" s="162"/>
      <c r="AT37" s="161"/>
      <c r="AU37" s="162"/>
      <c r="AV37" s="167"/>
      <c r="AW37" s="168"/>
      <c r="AX37" s="168"/>
      <c r="AY37" s="168"/>
      <c r="AZ37" s="162"/>
      <c r="BA37" s="161"/>
      <c r="BB37" s="169"/>
      <c r="BC37" s="170">
        <v>4.8546165180000003</v>
      </c>
      <c r="BD37" s="153">
        <f t="shared" si="2"/>
        <v>48.517969478799998</v>
      </c>
      <c r="BE37" s="154">
        <f t="shared" si="0"/>
        <v>14.765000000000001</v>
      </c>
      <c r="BF37" s="155">
        <f t="shared" si="1"/>
        <v>18.201999999999998</v>
      </c>
      <c r="BG37" s="149">
        <f t="shared" si="4"/>
        <v>7.32</v>
      </c>
      <c r="BH37" s="154"/>
      <c r="BI37" s="155"/>
      <c r="BJ37" s="155"/>
      <c r="BK37" s="155"/>
      <c r="BL37" s="155"/>
      <c r="BM37" s="155"/>
      <c r="BN37" s="155"/>
      <c r="BO37" s="155"/>
      <c r="BP37" s="171"/>
      <c r="BQ37" s="155"/>
      <c r="BR37" s="155">
        <v>12</v>
      </c>
      <c r="BS37" s="167">
        <v>14.765000000000001</v>
      </c>
      <c r="BT37" s="154">
        <v>0.03</v>
      </c>
      <c r="BU37" s="155">
        <v>7.7190000000000003</v>
      </c>
      <c r="BV37" s="155">
        <v>2</v>
      </c>
      <c r="BW37" s="155">
        <v>0.47299999999999998</v>
      </c>
      <c r="BX37" s="159">
        <v>1</v>
      </c>
      <c r="BY37" s="155">
        <v>2.69</v>
      </c>
      <c r="BZ37" s="155">
        <v>44</v>
      </c>
      <c r="CA37" s="167">
        <v>7.32</v>
      </c>
    </row>
    <row r="38" spans="1:79">
      <c r="A38" s="132"/>
      <c r="B38" s="160" t="s">
        <v>91</v>
      </c>
      <c r="C38" s="134"/>
      <c r="D38" s="135"/>
      <c r="E38" s="136"/>
      <c r="F38" s="137"/>
      <c r="G38" s="137"/>
      <c r="H38" s="137"/>
      <c r="I38" s="137"/>
      <c r="J38" s="137"/>
      <c r="K38" s="138"/>
      <c r="L38" s="139"/>
      <c r="M38" s="140"/>
      <c r="N38" s="154"/>
      <c r="O38" s="155"/>
      <c r="P38" s="155"/>
      <c r="Q38" s="155"/>
      <c r="R38" s="162">
        <v>3</v>
      </c>
      <c r="S38" s="163">
        <v>0.494608985</v>
      </c>
      <c r="T38" s="163">
        <v>4</v>
      </c>
      <c r="U38" s="163">
        <v>0.18872103268000001</v>
      </c>
      <c r="V38" s="163"/>
      <c r="W38" s="161"/>
      <c r="X38" s="162"/>
      <c r="Y38" s="161"/>
      <c r="Z38" s="162">
        <v>1.1599999999999999E-2</v>
      </c>
      <c r="AA38" s="164">
        <f t="shared" si="3"/>
        <v>2.3861172437200002</v>
      </c>
      <c r="AB38" s="161">
        <v>2.5197072437200001</v>
      </c>
      <c r="AC38" s="162"/>
      <c r="AD38" s="161"/>
      <c r="AE38" s="162"/>
      <c r="AF38" s="161"/>
      <c r="AG38" s="162">
        <v>2.5000000000000001E-3</v>
      </c>
      <c r="AH38" s="161">
        <v>4.4848948999999996</v>
      </c>
      <c r="AI38" s="162"/>
      <c r="AJ38" s="163"/>
      <c r="AK38" s="162"/>
      <c r="AL38" s="161"/>
      <c r="AM38" s="162">
        <v>2</v>
      </c>
      <c r="AN38" s="161">
        <v>3.0219999999999998</v>
      </c>
      <c r="AO38" s="162"/>
      <c r="AP38" s="161"/>
      <c r="AQ38" s="165"/>
      <c r="AR38" s="166"/>
      <c r="AS38" s="162"/>
      <c r="AT38" s="161"/>
      <c r="AU38" s="162"/>
      <c r="AV38" s="167"/>
      <c r="AW38" s="168"/>
      <c r="AX38" s="168"/>
      <c r="AY38" s="168"/>
      <c r="AZ38" s="162"/>
      <c r="BA38" s="161"/>
      <c r="BB38" s="169"/>
      <c r="BC38" s="170">
        <v>0.56128677000000005</v>
      </c>
      <c r="BD38" s="153">
        <f t="shared" si="2"/>
        <v>49.2200099314</v>
      </c>
      <c r="BE38" s="154">
        <f t="shared" si="0"/>
        <v>21.466791000000001</v>
      </c>
      <c r="BF38" s="155">
        <f t="shared" si="1"/>
        <v>8.3629999999999995</v>
      </c>
      <c r="BG38" s="149">
        <f t="shared" si="4"/>
        <v>8.1189999999999998</v>
      </c>
      <c r="BH38" s="154"/>
      <c r="BI38" s="155"/>
      <c r="BJ38" s="155"/>
      <c r="BK38" s="155"/>
      <c r="BL38" s="155">
        <v>1E-3</v>
      </c>
      <c r="BM38" s="155">
        <v>1.750791</v>
      </c>
      <c r="BN38" s="155"/>
      <c r="BO38" s="155"/>
      <c r="BP38" s="171"/>
      <c r="BQ38" s="155"/>
      <c r="BR38" s="155">
        <v>15</v>
      </c>
      <c r="BS38" s="167">
        <v>19.716000000000001</v>
      </c>
      <c r="BT38" s="154"/>
      <c r="BU38" s="155"/>
      <c r="BV38" s="155">
        <v>1</v>
      </c>
      <c r="BW38" s="155">
        <v>0.24399999999999999</v>
      </c>
      <c r="BX38" s="159"/>
      <c r="BY38" s="155"/>
      <c r="BZ38" s="155">
        <v>51</v>
      </c>
      <c r="CA38" s="167">
        <v>8.1189999999999998</v>
      </c>
    </row>
    <row r="39" spans="1:79">
      <c r="A39" s="132"/>
      <c r="B39" s="160" t="s">
        <v>92</v>
      </c>
      <c r="C39" s="134"/>
      <c r="D39" s="135"/>
      <c r="E39" s="136"/>
      <c r="F39" s="137"/>
      <c r="G39" s="137"/>
      <c r="H39" s="137"/>
      <c r="I39" s="137"/>
      <c r="J39" s="137"/>
      <c r="K39" s="138"/>
      <c r="L39" s="139"/>
      <c r="M39" s="140"/>
      <c r="N39" s="154"/>
      <c r="O39" s="155"/>
      <c r="P39" s="155"/>
      <c r="Q39" s="155"/>
      <c r="R39" s="162">
        <v>2</v>
      </c>
      <c r="S39" s="163">
        <v>0.36195588200000001</v>
      </c>
      <c r="T39" s="163"/>
      <c r="U39" s="163"/>
      <c r="V39" s="163"/>
      <c r="W39" s="161"/>
      <c r="X39" s="162"/>
      <c r="Y39" s="161"/>
      <c r="Z39" s="162"/>
      <c r="AA39" s="164"/>
      <c r="AB39" s="161"/>
      <c r="AC39" s="162"/>
      <c r="AD39" s="161"/>
      <c r="AE39" s="162"/>
      <c r="AF39" s="161"/>
      <c r="AG39" s="162">
        <v>2.5000000000000001E-4</v>
      </c>
      <c r="AH39" s="161">
        <v>0.19354825000000001</v>
      </c>
      <c r="AI39" s="162">
        <v>4</v>
      </c>
      <c r="AJ39" s="163">
        <v>2.4866270039999998</v>
      </c>
      <c r="AK39" s="162"/>
      <c r="AL39" s="161"/>
      <c r="AM39" s="162">
        <v>1</v>
      </c>
      <c r="AN39" s="161">
        <v>3.5723172729999999</v>
      </c>
      <c r="AO39" s="162"/>
      <c r="AP39" s="161"/>
      <c r="AQ39" s="165"/>
      <c r="AR39" s="166"/>
      <c r="AS39" s="162"/>
      <c r="AT39" s="161"/>
      <c r="AU39" s="162"/>
      <c r="AV39" s="167"/>
      <c r="AW39" s="168"/>
      <c r="AX39" s="168"/>
      <c r="AY39" s="168"/>
      <c r="AZ39" s="162"/>
      <c r="BA39" s="161"/>
      <c r="BB39" s="169"/>
      <c r="BC39" s="170">
        <v>1.93</v>
      </c>
      <c r="BD39" s="153">
        <f t="shared" si="2"/>
        <v>33.192448409000001</v>
      </c>
      <c r="BE39" s="154">
        <f t="shared" si="0"/>
        <v>4.92</v>
      </c>
      <c r="BF39" s="155">
        <f t="shared" si="1"/>
        <v>10.101000000000001</v>
      </c>
      <c r="BG39" s="149">
        <f t="shared" si="4"/>
        <v>9.6270000000000007</v>
      </c>
      <c r="BH39" s="154"/>
      <c r="BI39" s="155"/>
      <c r="BJ39" s="155"/>
      <c r="BK39" s="155"/>
      <c r="BL39" s="155"/>
      <c r="BM39" s="155"/>
      <c r="BN39" s="155">
        <v>1E-3</v>
      </c>
      <c r="BO39" s="155">
        <v>0.313</v>
      </c>
      <c r="BP39" s="171"/>
      <c r="BQ39" s="155"/>
      <c r="BR39" s="155">
        <v>6</v>
      </c>
      <c r="BS39" s="167">
        <v>4.6070000000000002</v>
      </c>
      <c r="BT39" s="154"/>
      <c r="BU39" s="155"/>
      <c r="BV39" s="155">
        <v>2</v>
      </c>
      <c r="BW39" s="155">
        <v>0.47399999999999998</v>
      </c>
      <c r="BX39" s="159"/>
      <c r="BY39" s="155"/>
      <c r="BZ39" s="155">
        <v>45</v>
      </c>
      <c r="CA39" s="167">
        <v>9.6270000000000007</v>
      </c>
    </row>
    <row r="40" spans="1:79">
      <c r="A40" s="132"/>
      <c r="B40" s="160" t="s">
        <v>93</v>
      </c>
      <c r="C40" s="134"/>
      <c r="D40" s="135"/>
      <c r="E40" s="136"/>
      <c r="F40" s="137"/>
      <c r="G40" s="137"/>
      <c r="H40" s="137"/>
      <c r="I40" s="137"/>
      <c r="J40" s="137"/>
      <c r="K40" s="138"/>
      <c r="L40" s="139"/>
      <c r="M40" s="140"/>
      <c r="N40" s="154"/>
      <c r="O40" s="155"/>
      <c r="P40" s="155"/>
      <c r="Q40" s="155"/>
      <c r="R40" s="162">
        <v>4</v>
      </c>
      <c r="S40" s="163">
        <v>0.36751895000000001</v>
      </c>
      <c r="T40" s="163">
        <v>4</v>
      </c>
      <c r="U40" s="163">
        <v>0.37739289852000002</v>
      </c>
      <c r="V40" s="163"/>
      <c r="W40" s="161"/>
      <c r="X40" s="162"/>
      <c r="Y40" s="161"/>
      <c r="Z40" s="162"/>
      <c r="AA40" s="164"/>
      <c r="AB40" s="161"/>
      <c r="AC40" s="162"/>
      <c r="AD40" s="161"/>
      <c r="AE40" s="162"/>
      <c r="AF40" s="161"/>
      <c r="AG40" s="162"/>
      <c r="AH40" s="161"/>
      <c r="AI40" s="162"/>
      <c r="AJ40" s="163"/>
      <c r="AK40" s="162"/>
      <c r="AL40" s="161"/>
      <c r="AM40" s="162"/>
      <c r="AN40" s="161"/>
      <c r="AO40" s="162"/>
      <c r="AP40" s="161"/>
      <c r="AQ40" s="165"/>
      <c r="AR40" s="166"/>
      <c r="AS40" s="162"/>
      <c r="AT40" s="161"/>
      <c r="AU40" s="162"/>
      <c r="AV40" s="167"/>
      <c r="AW40" s="168"/>
      <c r="AX40" s="168"/>
      <c r="AY40" s="168"/>
      <c r="AZ40" s="162"/>
      <c r="BA40" s="161"/>
      <c r="BB40" s="169"/>
      <c r="BC40" s="170"/>
      <c r="BD40" s="153">
        <f t="shared" si="2"/>
        <v>35.914911848519999</v>
      </c>
      <c r="BE40" s="154">
        <f t="shared" si="0"/>
        <v>24.795000000000002</v>
      </c>
      <c r="BF40" s="155">
        <f t="shared" si="1"/>
        <v>5.5539999999999994</v>
      </c>
      <c r="BG40" s="149">
        <f t="shared" si="4"/>
        <v>4.8209999999999997</v>
      </c>
      <c r="BH40" s="154"/>
      <c r="BI40" s="155"/>
      <c r="BJ40" s="155"/>
      <c r="BK40" s="155"/>
      <c r="BL40" s="155"/>
      <c r="BM40" s="155"/>
      <c r="BN40" s="155"/>
      <c r="BO40" s="155"/>
      <c r="BP40" s="171"/>
      <c r="BQ40" s="155"/>
      <c r="BR40" s="155">
        <v>17</v>
      </c>
      <c r="BS40" s="167">
        <v>24.795000000000002</v>
      </c>
      <c r="BT40" s="154"/>
      <c r="BU40" s="155"/>
      <c r="BV40" s="155">
        <v>3</v>
      </c>
      <c r="BW40" s="155">
        <v>0.73299999999999998</v>
      </c>
      <c r="BX40" s="159"/>
      <c r="BY40" s="155"/>
      <c r="BZ40" s="155">
        <v>46</v>
      </c>
      <c r="CA40" s="167">
        <v>4.8209999999999997</v>
      </c>
    </row>
    <row r="41" spans="1:79">
      <c r="A41" s="132"/>
      <c r="B41" s="160" t="s">
        <v>94</v>
      </c>
      <c r="C41" s="134"/>
      <c r="D41" s="135"/>
      <c r="E41" s="136"/>
      <c r="F41" s="137"/>
      <c r="G41" s="137"/>
      <c r="H41" s="137"/>
      <c r="I41" s="137"/>
      <c r="J41" s="137"/>
      <c r="K41" s="138"/>
      <c r="L41" s="139"/>
      <c r="M41" s="140"/>
      <c r="N41" s="154"/>
      <c r="O41" s="155"/>
      <c r="P41" s="155"/>
      <c r="Q41" s="155"/>
      <c r="R41" s="162">
        <v>2</v>
      </c>
      <c r="S41" s="163">
        <v>0.36195588200000001</v>
      </c>
      <c r="T41" s="163">
        <v>5</v>
      </c>
      <c r="U41" s="163">
        <v>0.23590129085</v>
      </c>
      <c r="V41" s="163"/>
      <c r="W41" s="161"/>
      <c r="X41" s="162"/>
      <c r="Y41" s="161"/>
      <c r="Z41" s="162"/>
      <c r="AA41" s="164"/>
      <c r="AB41" s="161"/>
      <c r="AC41" s="162"/>
      <c r="AD41" s="161"/>
      <c r="AE41" s="162"/>
      <c r="AF41" s="161"/>
      <c r="AG41" s="162"/>
      <c r="AH41" s="161"/>
      <c r="AI41" s="162">
        <v>3</v>
      </c>
      <c r="AJ41" s="163">
        <v>1.8649702529999999</v>
      </c>
      <c r="AK41" s="162"/>
      <c r="AL41" s="161"/>
      <c r="AM41" s="162"/>
      <c r="AN41" s="161"/>
      <c r="AO41" s="162"/>
      <c r="AP41" s="161"/>
      <c r="AQ41" s="165">
        <v>1</v>
      </c>
      <c r="AR41" s="166">
        <v>0.42</v>
      </c>
      <c r="AS41" s="162"/>
      <c r="AT41" s="161"/>
      <c r="AU41" s="162"/>
      <c r="AV41" s="167"/>
      <c r="AW41" s="168"/>
      <c r="AX41" s="168"/>
      <c r="AY41" s="168"/>
      <c r="AZ41" s="162"/>
      <c r="BA41" s="161"/>
      <c r="BB41" s="169"/>
      <c r="BC41" s="170">
        <v>0.30459466699999999</v>
      </c>
      <c r="BD41" s="153">
        <f t="shared" si="2"/>
        <v>23.688422092850001</v>
      </c>
      <c r="BE41" s="154">
        <f t="shared" si="0"/>
        <v>6.8819999999999997</v>
      </c>
      <c r="BF41" s="155">
        <f t="shared" si="1"/>
        <v>7.0540000000000003</v>
      </c>
      <c r="BG41" s="149">
        <f t="shared" si="4"/>
        <v>6.5650000000000004</v>
      </c>
      <c r="BH41" s="154"/>
      <c r="BI41" s="155"/>
      <c r="BJ41" s="155"/>
      <c r="BK41" s="155"/>
      <c r="BL41" s="155"/>
      <c r="BM41" s="155"/>
      <c r="BN41" s="155"/>
      <c r="BO41" s="155"/>
      <c r="BP41" s="171"/>
      <c r="BQ41" s="155"/>
      <c r="BR41" s="155">
        <v>5</v>
      </c>
      <c r="BS41" s="167">
        <v>6.8819999999999997</v>
      </c>
      <c r="BT41" s="154"/>
      <c r="BU41" s="155"/>
      <c r="BV41" s="155">
        <v>2</v>
      </c>
      <c r="BW41" s="155">
        <v>0.48899999999999999</v>
      </c>
      <c r="BX41" s="159"/>
      <c r="BY41" s="155"/>
      <c r="BZ41" s="155">
        <v>31</v>
      </c>
      <c r="CA41" s="167">
        <v>6.5650000000000004</v>
      </c>
    </row>
    <row r="42" spans="1:79">
      <c r="A42" s="132"/>
      <c r="B42" s="160" t="s">
        <v>95</v>
      </c>
      <c r="C42" s="134"/>
      <c r="D42" s="135"/>
      <c r="E42" s="136"/>
      <c r="F42" s="137"/>
      <c r="G42" s="137"/>
      <c r="H42" s="137"/>
      <c r="I42" s="137"/>
      <c r="J42" s="137"/>
      <c r="K42" s="138"/>
      <c r="L42" s="139"/>
      <c r="M42" s="140"/>
      <c r="N42" s="154">
        <f>0.01+0.03</f>
        <v>0.04</v>
      </c>
      <c r="O42" s="155">
        <f>13.864+22.089</f>
        <v>35.953000000000003</v>
      </c>
      <c r="P42" s="155"/>
      <c r="Q42" s="155"/>
      <c r="R42" s="162">
        <v>3</v>
      </c>
      <c r="S42" s="163">
        <v>0.44976528199999999</v>
      </c>
      <c r="T42" s="163"/>
      <c r="U42" s="163"/>
      <c r="V42" s="163"/>
      <c r="W42" s="161"/>
      <c r="X42" s="162"/>
      <c r="Y42" s="161"/>
      <c r="Z42" s="162"/>
      <c r="AA42" s="164"/>
      <c r="AB42" s="161"/>
      <c r="AC42" s="162"/>
      <c r="AD42" s="161"/>
      <c r="AE42" s="162"/>
      <c r="AF42" s="161"/>
      <c r="AG42" s="162"/>
      <c r="AH42" s="161"/>
      <c r="AI42" s="162"/>
      <c r="AJ42" s="163"/>
      <c r="AK42" s="162"/>
      <c r="AL42" s="161"/>
      <c r="AM42" s="162"/>
      <c r="AN42" s="161"/>
      <c r="AO42" s="162"/>
      <c r="AP42" s="161"/>
      <c r="AQ42" s="165"/>
      <c r="AR42" s="166"/>
      <c r="AS42" s="162"/>
      <c r="AT42" s="161"/>
      <c r="AU42" s="162"/>
      <c r="AV42" s="167"/>
      <c r="AW42" s="168"/>
      <c r="AX42" s="168"/>
      <c r="AY42" s="168"/>
      <c r="AZ42" s="162"/>
      <c r="BA42" s="161"/>
      <c r="BB42" s="169"/>
      <c r="BC42" s="170">
        <v>15.718914</v>
      </c>
      <c r="BD42" s="153">
        <f t="shared" si="2"/>
        <v>76.833679282000006</v>
      </c>
      <c r="BE42" s="154">
        <f t="shared" si="0"/>
        <v>8.4139999999999997</v>
      </c>
      <c r="BF42" s="155">
        <f t="shared" si="1"/>
        <v>12.056000000000001</v>
      </c>
      <c r="BG42" s="149">
        <f t="shared" si="4"/>
        <v>4.242</v>
      </c>
      <c r="BH42" s="154"/>
      <c r="BI42" s="155"/>
      <c r="BJ42" s="155"/>
      <c r="BK42" s="155"/>
      <c r="BL42" s="155"/>
      <c r="BM42" s="155"/>
      <c r="BN42" s="155"/>
      <c r="BO42" s="155"/>
      <c r="BP42" s="171"/>
      <c r="BQ42" s="155"/>
      <c r="BR42" s="155">
        <v>8</v>
      </c>
      <c r="BS42" s="167">
        <v>8.4139999999999997</v>
      </c>
      <c r="BT42" s="154">
        <v>3.5000000000000003E-2</v>
      </c>
      <c r="BU42" s="155">
        <v>7.57</v>
      </c>
      <c r="BV42" s="155">
        <v>1</v>
      </c>
      <c r="BW42" s="155">
        <v>0.24399999999999999</v>
      </c>
      <c r="BX42" s="159"/>
      <c r="BY42" s="155"/>
      <c r="BZ42" s="155">
        <v>25</v>
      </c>
      <c r="CA42" s="167">
        <v>4.242</v>
      </c>
    </row>
    <row r="43" spans="1:79">
      <c r="A43" s="132"/>
      <c r="B43" s="160" t="s">
        <v>96</v>
      </c>
      <c r="C43" s="134"/>
      <c r="D43" s="135"/>
      <c r="E43" s="136"/>
      <c r="F43" s="137"/>
      <c r="G43" s="137"/>
      <c r="H43" s="137"/>
      <c r="I43" s="137"/>
      <c r="J43" s="137"/>
      <c r="K43" s="138"/>
      <c r="L43" s="139"/>
      <c r="M43" s="140"/>
      <c r="N43" s="154"/>
      <c r="O43" s="155"/>
      <c r="P43" s="155"/>
      <c r="Q43" s="155"/>
      <c r="R43" s="162">
        <v>2</v>
      </c>
      <c r="S43" s="163">
        <v>0.36195588200000001</v>
      </c>
      <c r="T43" s="163"/>
      <c r="U43" s="163"/>
      <c r="V43" s="163"/>
      <c r="W43" s="161"/>
      <c r="X43" s="162"/>
      <c r="Y43" s="161"/>
      <c r="Z43" s="162"/>
      <c r="AA43" s="164"/>
      <c r="AB43" s="161"/>
      <c r="AC43" s="162"/>
      <c r="AD43" s="161"/>
      <c r="AE43" s="162"/>
      <c r="AF43" s="161"/>
      <c r="AG43" s="162"/>
      <c r="AH43" s="161"/>
      <c r="AI43" s="162">
        <v>1</v>
      </c>
      <c r="AJ43" s="163">
        <v>0.81023553800000003</v>
      </c>
      <c r="AK43" s="162"/>
      <c r="AL43" s="161"/>
      <c r="AM43" s="162"/>
      <c r="AN43" s="161"/>
      <c r="AO43" s="162"/>
      <c r="AP43" s="161"/>
      <c r="AQ43" s="165">
        <v>5</v>
      </c>
      <c r="AR43" s="166">
        <v>0.43998929999999992</v>
      </c>
      <c r="AS43" s="162"/>
      <c r="AT43" s="161"/>
      <c r="AU43" s="162"/>
      <c r="AV43" s="167"/>
      <c r="AW43" s="168"/>
      <c r="AX43" s="168"/>
      <c r="AY43" s="168"/>
      <c r="AZ43" s="162"/>
      <c r="BA43" s="161"/>
      <c r="BB43" s="169"/>
      <c r="BC43" s="170">
        <v>1.0385627040000001</v>
      </c>
      <c r="BD43" s="153">
        <f t="shared" si="2"/>
        <v>56.5735258391</v>
      </c>
      <c r="BE43" s="154">
        <f t="shared" si="0"/>
        <v>11.0487824151</v>
      </c>
      <c r="BF43" s="155">
        <f t="shared" si="1"/>
        <v>37.334000000000003</v>
      </c>
      <c r="BG43" s="149">
        <f t="shared" si="4"/>
        <v>5.54</v>
      </c>
      <c r="BH43" s="154"/>
      <c r="BI43" s="155"/>
      <c r="BJ43" s="155"/>
      <c r="BK43" s="155"/>
      <c r="BL43" s="155">
        <v>1E-3</v>
      </c>
      <c r="BM43" s="155">
        <v>0.79978241510000003</v>
      </c>
      <c r="BN43" s="155"/>
      <c r="BO43" s="155"/>
      <c r="BP43" s="171"/>
      <c r="BQ43" s="155"/>
      <c r="BR43" s="155">
        <v>9</v>
      </c>
      <c r="BS43" s="167">
        <v>10.249000000000001</v>
      </c>
      <c r="BT43" s="154">
        <v>3.3000000000000002E-2</v>
      </c>
      <c r="BU43" s="155">
        <v>30.236000000000001</v>
      </c>
      <c r="BV43" s="155">
        <v>7</v>
      </c>
      <c r="BW43" s="155">
        <v>1.5580000000000001</v>
      </c>
      <c r="BX43" s="159"/>
      <c r="BY43" s="155"/>
      <c r="BZ43" s="155">
        <v>32</v>
      </c>
      <c r="CA43" s="167">
        <v>5.54</v>
      </c>
    </row>
    <row r="44" spans="1:79">
      <c r="A44" s="132"/>
      <c r="B44" s="160" t="s">
        <v>97</v>
      </c>
      <c r="C44" s="134"/>
      <c r="D44" s="135"/>
      <c r="E44" s="136"/>
      <c r="F44" s="137"/>
      <c r="G44" s="137"/>
      <c r="H44" s="137"/>
      <c r="I44" s="137"/>
      <c r="J44" s="137"/>
      <c r="K44" s="138"/>
      <c r="L44" s="139"/>
      <c r="M44" s="140"/>
      <c r="N44" s="154"/>
      <c r="O44" s="155"/>
      <c r="P44" s="155">
        <v>0.01</v>
      </c>
      <c r="Q44" s="155">
        <v>4.7984802444000003</v>
      </c>
      <c r="R44" s="162"/>
      <c r="S44" s="163"/>
      <c r="T44" s="163"/>
      <c r="U44" s="163"/>
      <c r="V44" s="163"/>
      <c r="W44" s="161"/>
      <c r="X44" s="162"/>
      <c r="Y44" s="161"/>
      <c r="Z44" s="162">
        <v>9.0999999999999987E-3</v>
      </c>
      <c r="AA44" s="164">
        <f t="shared" si="3"/>
        <v>37.033197500000007</v>
      </c>
      <c r="AB44" s="161">
        <v>37.166787500000005</v>
      </c>
      <c r="AC44" s="162">
        <v>4.0000000000000002E-4</v>
      </c>
      <c r="AD44" s="161">
        <v>1.3490628000000002</v>
      </c>
      <c r="AE44" s="162"/>
      <c r="AF44" s="161"/>
      <c r="AG44" s="162">
        <v>5.0000000000000001E-4</v>
      </c>
      <c r="AH44" s="161">
        <v>0.3323352</v>
      </c>
      <c r="AI44" s="162">
        <v>12</v>
      </c>
      <c r="AJ44" s="163">
        <v>8.1189343349999987</v>
      </c>
      <c r="AK44" s="162"/>
      <c r="AL44" s="161"/>
      <c r="AM44" s="162"/>
      <c r="AN44" s="161"/>
      <c r="AO44" s="162"/>
      <c r="AP44" s="161"/>
      <c r="AQ44" s="165">
        <v>3</v>
      </c>
      <c r="AR44" s="166">
        <v>2.3333136839999997</v>
      </c>
      <c r="AS44" s="162">
        <v>0.01</v>
      </c>
      <c r="AT44" s="161">
        <v>21.64604375</v>
      </c>
      <c r="AU44" s="162"/>
      <c r="AV44" s="167"/>
      <c r="AW44" s="168"/>
      <c r="AX44" s="168">
        <v>2</v>
      </c>
      <c r="AY44" s="168">
        <f>24.05+4.023</f>
        <v>28.073</v>
      </c>
      <c r="AZ44" s="162"/>
      <c r="BA44" s="161"/>
      <c r="BB44" s="169"/>
      <c r="BC44" s="170">
        <v>4.1669999999999998</v>
      </c>
      <c r="BD44" s="153">
        <f t="shared" si="2"/>
        <v>157.54295751340001</v>
      </c>
      <c r="BE44" s="154">
        <f t="shared" si="0"/>
        <v>14.861999999999998</v>
      </c>
      <c r="BF44" s="155">
        <f t="shared" si="1"/>
        <v>18.887999999999998</v>
      </c>
      <c r="BG44" s="149">
        <f t="shared" si="4"/>
        <v>15.808</v>
      </c>
      <c r="BH44" s="154"/>
      <c r="BI44" s="155"/>
      <c r="BJ44" s="155"/>
      <c r="BK44" s="155"/>
      <c r="BL44" s="155"/>
      <c r="BM44" s="155"/>
      <c r="BN44" s="155">
        <v>5.0000000000000001E-3</v>
      </c>
      <c r="BO44" s="155">
        <v>3.2549999999999999</v>
      </c>
      <c r="BP44" s="171"/>
      <c r="BQ44" s="155"/>
      <c r="BR44" s="155">
        <v>10</v>
      </c>
      <c r="BS44" s="167">
        <v>11.606999999999999</v>
      </c>
      <c r="BT44" s="154">
        <v>2.5000000000000001E-2</v>
      </c>
      <c r="BU44" s="155">
        <v>2.5369999999999999</v>
      </c>
      <c r="BV44" s="155">
        <v>2</v>
      </c>
      <c r="BW44" s="155">
        <v>0.54300000000000004</v>
      </c>
      <c r="BX44" s="159"/>
      <c r="BY44" s="155"/>
      <c r="BZ44" s="155">
        <v>85</v>
      </c>
      <c r="CA44" s="167">
        <v>15.808</v>
      </c>
    </row>
    <row r="45" spans="1:79">
      <c r="A45" s="132"/>
      <c r="B45" s="160" t="s">
        <v>98</v>
      </c>
      <c r="C45" s="134"/>
      <c r="D45" s="135"/>
      <c r="E45" s="136"/>
      <c r="F45" s="137"/>
      <c r="G45" s="137"/>
      <c r="H45" s="137"/>
      <c r="I45" s="137"/>
      <c r="J45" s="137"/>
      <c r="K45" s="138"/>
      <c r="L45" s="139"/>
      <c r="M45" s="140"/>
      <c r="N45" s="154"/>
      <c r="O45" s="155"/>
      <c r="P45" s="155"/>
      <c r="Q45" s="155"/>
      <c r="R45" s="162">
        <v>4</v>
      </c>
      <c r="S45" s="163">
        <v>0.72391176400000001</v>
      </c>
      <c r="T45" s="163">
        <v>4</v>
      </c>
      <c r="U45" s="163">
        <v>0.18872103268000001</v>
      </c>
      <c r="V45" s="163"/>
      <c r="W45" s="161"/>
      <c r="X45" s="162"/>
      <c r="Y45" s="161"/>
      <c r="Z45" s="162">
        <v>7.1400000000000005E-2</v>
      </c>
      <c r="AA45" s="164">
        <f t="shared" si="3"/>
        <v>18.309131999999998</v>
      </c>
      <c r="AB45" s="161">
        <v>18.442722</v>
      </c>
      <c r="AC45" s="162"/>
      <c r="AD45" s="161"/>
      <c r="AE45" s="162"/>
      <c r="AF45" s="161"/>
      <c r="AG45" s="162"/>
      <c r="AH45" s="161"/>
      <c r="AI45" s="162"/>
      <c r="AJ45" s="163"/>
      <c r="AK45" s="162"/>
      <c r="AL45" s="161"/>
      <c r="AM45" s="162"/>
      <c r="AN45" s="161"/>
      <c r="AO45" s="162"/>
      <c r="AP45" s="161"/>
      <c r="AQ45" s="165">
        <v>2</v>
      </c>
      <c r="AR45" s="166">
        <v>0.84</v>
      </c>
      <c r="AS45" s="162"/>
      <c r="AT45" s="161"/>
      <c r="AU45" s="162"/>
      <c r="AV45" s="167"/>
      <c r="AW45" s="168"/>
      <c r="AX45" s="168"/>
      <c r="AY45" s="168"/>
      <c r="AZ45" s="162"/>
      <c r="BA45" s="161"/>
      <c r="BB45" s="169"/>
      <c r="BC45" s="170"/>
      <c r="BD45" s="153">
        <f t="shared" si="2"/>
        <v>57.745354796680004</v>
      </c>
      <c r="BE45" s="154">
        <f t="shared" si="0"/>
        <v>6.141</v>
      </c>
      <c r="BF45" s="155">
        <f t="shared" si="1"/>
        <v>19.827999999999999</v>
      </c>
      <c r="BG45" s="149">
        <f t="shared" si="4"/>
        <v>11.581</v>
      </c>
      <c r="BH45" s="154"/>
      <c r="BI45" s="155"/>
      <c r="BJ45" s="155"/>
      <c r="BK45" s="155"/>
      <c r="BL45" s="155"/>
      <c r="BM45" s="155"/>
      <c r="BN45" s="155"/>
      <c r="BO45" s="155"/>
      <c r="BP45" s="171"/>
      <c r="BQ45" s="155"/>
      <c r="BR45" s="155">
        <v>5</v>
      </c>
      <c r="BS45" s="167">
        <v>6.141</v>
      </c>
      <c r="BT45" s="154">
        <v>3.6999999999999998E-2</v>
      </c>
      <c r="BU45" s="155">
        <v>8.0030000000000001</v>
      </c>
      <c r="BV45" s="155">
        <v>1</v>
      </c>
      <c r="BW45" s="155">
        <v>0.24399999999999999</v>
      </c>
      <c r="BX45" s="159"/>
      <c r="BY45" s="155"/>
      <c r="BZ45" s="155">
        <v>50</v>
      </c>
      <c r="CA45" s="167">
        <v>11.581</v>
      </c>
    </row>
    <row r="46" spans="1:79">
      <c r="A46" s="132"/>
      <c r="B46" s="160" t="s">
        <v>99</v>
      </c>
      <c r="C46" s="134"/>
      <c r="D46" s="135"/>
      <c r="E46" s="136"/>
      <c r="F46" s="137"/>
      <c r="G46" s="137"/>
      <c r="H46" s="137"/>
      <c r="I46" s="137"/>
      <c r="J46" s="137"/>
      <c r="K46" s="138"/>
      <c r="L46" s="139"/>
      <c r="M46" s="140"/>
      <c r="N46" s="154"/>
      <c r="O46" s="155"/>
      <c r="P46" s="155"/>
      <c r="Q46" s="155"/>
      <c r="R46" s="162">
        <v>2</v>
      </c>
      <c r="S46" s="163">
        <v>0.26878734100000001</v>
      </c>
      <c r="T46" s="163">
        <v>10</v>
      </c>
      <c r="U46" s="163">
        <v>0.4718025817</v>
      </c>
      <c r="V46" s="163"/>
      <c r="W46" s="161"/>
      <c r="X46" s="162"/>
      <c r="Y46" s="161"/>
      <c r="Z46" s="162"/>
      <c r="AA46" s="164"/>
      <c r="AB46" s="161"/>
      <c r="AC46" s="162"/>
      <c r="AD46" s="161"/>
      <c r="AE46" s="162"/>
      <c r="AF46" s="161"/>
      <c r="AG46" s="162"/>
      <c r="AH46" s="161"/>
      <c r="AI46" s="162">
        <v>4</v>
      </c>
      <c r="AJ46" s="163">
        <v>3.2409421520000001</v>
      </c>
      <c r="AK46" s="162"/>
      <c r="AL46" s="161"/>
      <c r="AM46" s="162"/>
      <c r="AN46" s="161"/>
      <c r="AO46" s="162"/>
      <c r="AP46" s="161"/>
      <c r="AQ46" s="165">
        <v>2</v>
      </c>
      <c r="AR46" s="166">
        <f>AQ46*0.0878094</f>
        <v>0.17561879999999999</v>
      </c>
      <c r="AS46" s="162"/>
      <c r="AT46" s="161"/>
      <c r="AU46" s="162"/>
      <c r="AV46" s="167"/>
      <c r="AW46" s="168"/>
      <c r="AX46" s="168"/>
      <c r="AY46" s="168"/>
      <c r="AZ46" s="162"/>
      <c r="BA46" s="161"/>
      <c r="BB46" s="169"/>
      <c r="BC46" s="170">
        <v>1.0385627040000001</v>
      </c>
      <c r="BD46" s="153">
        <f t="shared" si="2"/>
        <v>49.298645993800008</v>
      </c>
      <c r="BE46" s="154">
        <f t="shared" si="0"/>
        <v>14.6409324151</v>
      </c>
      <c r="BF46" s="155">
        <f t="shared" si="1"/>
        <v>17.131</v>
      </c>
      <c r="BG46" s="149">
        <f t="shared" si="4"/>
        <v>12.331</v>
      </c>
      <c r="BH46" s="154"/>
      <c r="BI46" s="155"/>
      <c r="BJ46" s="155"/>
      <c r="BK46" s="155"/>
      <c r="BL46" s="155">
        <v>1E-3</v>
      </c>
      <c r="BM46" s="155">
        <v>0.79978241510000003</v>
      </c>
      <c r="BN46" s="155">
        <v>1E-3</v>
      </c>
      <c r="BO46" s="155">
        <v>0.627</v>
      </c>
      <c r="BP46" s="171">
        <v>1</v>
      </c>
      <c r="BQ46" s="155">
        <v>3.2451500000000002</v>
      </c>
      <c r="BR46" s="155">
        <v>9</v>
      </c>
      <c r="BS46" s="167">
        <v>9.9689999999999994</v>
      </c>
      <c r="BT46" s="154">
        <v>0.02</v>
      </c>
      <c r="BU46" s="155">
        <v>4.3259999999999996</v>
      </c>
      <c r="BV46" s="155">
        <v>2</v>
      </c>
      <c r="BW46" s="155">
        <v>0.47399999999999998</v>
      </c>
      <c r="BX46" s="159"/>
      <c r="BY46" s="155"/>
      <c r="BZ46" s="155">
        <v>54</v>
      </c>
      <c r="CA46" s="167">
        <v>12.331</v>
      </c>
    </row>
    <row r="47" spans="1:79">
      <c r="A47" s="132"/>
      <c r="B47" s="160" t="s">
        <v>100</v>
      </c>
      <c r="C47" s="134"/>
      <c r="D47" s="135"/>
      <c r="E47" s="136"/>
      <c r="F47" s="137"/>
      <c r="G47" s="137"/>
      <c r="H47" s="137"/>
      <c r="I47" s="137"/>
      <c r="J47" s="137"/>
      <c r="K47" s="138"/>
      <c r="L47" s="139"/>
      <c r="M47" s="140"/>
      <c r="N47" s="154"/>
      <c r="O47" s="155"/>
      <c r="P47" s="155"/>
      <c r="Q47" s="155"/>
      <c r="R47" s="162">
        <v>2</v>
      </c>
      <c r="S47" s="163">
        <v>0.36195588200000001</v>
      </c>
      <c r="T47" s="163"/>
      <c r="U47" s="163"/>
      <c r="V47" s="163"/>
      <c r="W47" s="161"/>
      <c r="X47" s="162"/>
      <c r="Y47" s="161"/>
      <c r="Z47" s="162"/>
      <c r="AA47" s="164"/>
      <c r="AB47" s="161"/>
      <c r="AC47" s="162"/>
      <c r="AD47" s="161"/>
      <c r="AE47" s="162"/>
      <c r="AF47" s="161"/>
      <c r="AG47" s="162"/>
      <c r="AH47" s="161"/>
      <c r="AI47" s="162">
        <v>5</v>
      </c>
      <c r="AJ47" s="163">
        <v>3.960933335</v>
      </c>
      <c r="AK47" s="162"/>
      <c r="AL47" s="161"/>
      <c r="AM47" s="162"/>
      <c r="AN47" s="161"/>
      <c r="AO47" s="162"/>
      <c r="AP47" s="161"/>
      <c r="AQ47" s="165">
        <v>2</v>
      </c>
      <c r="AR47" s="166">
        <v>0.17624699999999999</v>
      </c>
      <c r="AS47" s="162"/>
      <c r="AT47" s="161"/>
      <c r="AU47" s="162"/>
      <c r="AV47" s="167"/>
      <c r="AW47" s="168"/>
      <c r="AX47" s="168"/>
      <c r="AY47" s="168"/>
      <c r="AZ47" s="162"/>
      <c r="BA47" s="161"/>
      <c r="BB47" s="169"/>
      <c r="BC47" s="170">
        <v>0.52882293300000005</v>
      </c>
      <c r="BD47" s="153">
        <f t="shared" si="2"/>
        <v>33.26595915</v>
      </c>
      <c r="BE47" s="154">
        <f t="shared" si="0"/>
        <v>2.2669999999999999</v>
      </c>
      <c r="BF47" s="155">
        <f t="shared" si="1"/>
        <v>18.245000000000001</v>
      </c>
      <c r="BG47" s="149">
        <f t="shared" si="4"/>
        <v>7.726</v>
      </c>
      <c r="BH47" s="154"/>
      <c r="BI47" s="155"/>
      <c r="BJ47" s="155"/>
      <c r="BK47" s="155"/>
      <c r="BL47" s="155"/>
      <c r="BM47" s="155"/>
      <c r="BN47" s="155">
        <v>1E-3</v>
      </c>
      <c r="BO47" s="155">
        <v>0.627</v>
      </c>
      <c r="BP47" s="171"/>
      <c r="BQ47" s="155"/>
      <c r="BR47" s="155">
        <v>1</v>
      </c>
      <c r="BS47" s="167">
        <v>1.64</v>
      </c>
      <c r="BT47" s="154">
        <v>3.6999999999999998E-2</v>
      </c>
      <c r="BU47" s="155">
        <v>8.0030000000000001</v>
      </c>
      <c r="BV47" s="155">
        <v>3</v>
      </c>
      <c r="BW47" s="155">
        <v>0.73299999999999998</v>
      </c>
      <c r="BX47" s="159">
        <v>1</v>
      </c>
      <c r="BY47" s="155">
        <v>1.7829999999999999</v>
      </c>
      <c r="BZ47" s="155">
        <v>39</v>
      </c>
      <c r="CA47" s="167">
        <v>7.726</v>
      </c>
    </row>
    <row r="48" spans="1:79">
      <c r="A48" s="132"/>
      <c r="B48" s="160" t="s">
        <v>101</v>
      </c>
      <c r="C48" s="134"/>
      <c r="D48" s="135"/>
      <c r="E48" s="136"/>
      <c r="F48" s="137"/>
      <c r="G48" s="137"/>
      <c r="H48" s="137"/>
      <c r="I48" s="137"/>
      <c r="J48" s="137"/>
      <c r="K48" s="138"/>
      <c r="L48" s="139"/>
      <c r="M48" s="140"/>
      <c r="N48" s="154">
        <v>0.05</v>
      </c>
      <c r="O48" s="155">
        <v>25.913699550000004</v>
      </c>
      <c r="P48" s="155">
        <v>1.4E-2</v>
      </c>
      <c r="Q48" s="155">
        <v>19.260360796000001</v>
      </c>
      <c r="R48" s="162"/>
      <c r="S48" s="163"/>
      <c r="T48" s="163"/>
      <c r="U48" s="163"/>
      <c r="V48" s="163"/>
      <c r="W48" s="161"/>
      <c r="X48" s="162"/>
      <c r="Y48" s="161"/>
      <c r="Z48" s="162">
        <v>2.9000000000000001E-2</v>
      </c>
      <c r="AA48" s="164">
        <f t="shared" si="3"/>
        <v>19.37651</v>
      </c>
      <c r="AB48" s="161">
        <v>19.510100000000001</v>
      </c>
      <c r="AC48" s="162"/>
      <c r="AD48" s="161"/>
      <c r="AE48" s="162"/>
      <c r="AF48" s="161"/>
      <c r="AG48" s="162"/>
      <c r="AH48" s="161"/>
      <c r="AI48" s="162">
        <v>10</v>
      </c>
      <c r="AJ48" s="163">
        <v>5.6454358419999995</v>
      </c>
      <c r="AK48" s="162"/>
      <c r="AL48" s="161"/>
      <c r="AM48" s="162"/>
      <c r="AN48" s="161"/>
      <c r="AO48" s="162"/>
      <c r="AP48" s="161"/>
      <c r="AQ48" s="165">
        <v>4</v>
      </c>
      <c r="AR48" s="166">
        <v>1.8032136839999997</v>
      </c>
      <c r="AS48" s="162">
        <v>1.172E-2</v>
      </c>
      <c r="AT48" s="161">
        <v>43.033105452679997</v>
      </c>
      <c r="AU48" s="162"/>
      <c r="AV48" s="167"/>
      <c r="AW48" s="168"/>
      <c r="AX48" s="168"/>
      <c r="AY48" s="168"/>
      <c r="AZ48" s="162"/>
      <c r="BA48" s="161"/>
      <c r="BB48" s="169"/>
      <c r="BC48" s="170">
        <v>7.8109999999999999</v>
      </c>
      <c r="BD48" s="153">
        <f t="shared" si="2"/>
        <v>205.41185647468001</v>
      </c>
      <c r="BE48" s="154">
        <f t="shared" si="0"/>
        <v>63.973941150000002</v>
      </c>
      <c r="BF48" s="155">
        <f t="shared" si="1"/>
        <v>9.6740000000000013</v>
      </c>
      <c r="BG48" s="149">
        <f t="shared" si="4"/>
        <v>8.7870000000000008</v>
      </c>
      <c r="BH48" s="154"/>
      <c r="BI48" s="155"/>
      <c r="BJ48" s="155"/>
      <c r="BK48" s="155"/>
      <c r="BL48" s="155">
        <v>7.0000000000000001E-3</v>
      </c>
      <c r="BM48" s="155">
        <v>4.5929411499999997</v>
      </c>
      <c r="BN48" s="155">
        <v>4.0000000000000001E-3</v>
      </c>
      <c r="BO48" s="155">
        <v>2.6779999999999999</v>
      </c>
      <c r="BP48" s="171"/>
      <c r="BQ48" s="155"/>
      <c r="BR48" s="155">
        <v>59</v>
      </c>
      <c r="BS48" s="167">
        <v>56.703000000000003</v>
      </c>
      <c r="BT48" s="154"/>
      <c r="BU48" s="155"/>
      <c r="BV48" s="155">
        <v>4</v>
      </c>
      <c r="BW48" s="155">
        <v>0.88700000000000001</v>
      </c>
      <c r="BX48" s="159"/>
      <c r="BY48" s="155"/>
      <c r="BZ48" s="155">
        <v>67</v>
      </c>
      <c r="CA48" s="167">
        <v>8.7870000000000008</v>
      </c>
    </row>
    <row r="49" spans="1:79">
      <c r="A49" s="132"/>
      <c r="B49" s="160" t="s">
        <v>102</v>
      </c>
      <c r="C49" s="134"/>
      <c r="D49" s="135"/>
      <c r="E49" s="136"/>
      <c r="F49" s="137"/>
      <c r="G49" s="137"/>
      <c r="H49" s="137"/>
      <c r="I49" s="137"/>
      <c r="J49" s="137"/>
      <c r="K49" s="138"/>
      <c r="L49" s="139"/>
      <c r="M49" s="140"/>
      <c r="N49" s="154">
        <v>6.0000000000000001E-3</v>
      </c>
      <c r="O49" s="155">
        <v>2.2672979999999998</v>
      </c>
      <c r="P49" s="155"/>
      <c r="Q49" s="155"/>
      <c r="R49" s="162">
        <v>3</v>
      </c>
      <c r="S49" s="163">
        <v>0.54293382300000004</v>
      </c>
      <c r="T49" s="163"/>
      <c r="U49" s="163"/>
      <c r="V49" s="163"/>
      <c r="W49" s="161"/>
      <c r="X49" s="162">
        <f>0.043+0.01</f>
        <v>5.2999999999999999E-2</v>
      </c>
      <c r="Y49" s="161">
        <f>24.756+2.25</f>
        <v>27.006</v>
      </c>
      <c r="Z49" s="162">
        <v>0.02</v>
      </c>
      <c r="AA49" s="164">
        <f t="shared" si="3"/>
        <v>9.3611326199999993</v>
      </c>
      <c r="AB49" s="161">
        <v>9.4947226199999992</v>
      </c>
      <c r="AC49" s="162"/>
      <c r="AD49" s="161"/>
      <c r="AE49" s="162"/>
      <c r="AF49" s="161"/>
      <c r="AG49" s="162"/>
      <c r="AH49" s="161"/>
      <c r="AI49" s="162"/>
      <c r="AJ49" s="163"/>
      <c r="AK49" s="162"/>
      <c r="AL49" s="161"/>
      <c r="AM49" s="162"/>
      <c r="AN49" s="161"/>
      <c r="AO49" s="162">
        <v>1</v>
      </c>
      <c r="AP49" s="161">
        <v>2.3652299999999999</v>
      </c>
      <c r="AQ49" s="165">
        <v>4</v>
      </c>
      <c r="AR49" s="166">
        <v>1.3014666629999998</v>
      </c>
      <c r="AS49" s="162"/>
      <c r="AT49" s="161"/>
      <c r="AU49" s="162"/>
      <c r="AV49" s="167"/>
      <c r="AW49" s="168"/>
      <c r="AX49" s="168"/>
      <c r="AY49" s="168"/>
      <c r="AZ49" s="162"/>
      <c r="BA49" s="161"/>
      <c r="BB49" s="169"/>
      <c r="BC49" s="170">
        <v>2.8</v>
      </c>
      <c r="BD49" s="153">
        <f t="shared" si="2"/>
        <v>103.663700306</v>
      </c>
      <c r="BE49" s="154">
        <f t="shared" si="0"/>
        <v>32.853049200000001</v>
      </c>
      <c r="BF49" s="155">
        <f t="shared" si="1"/>
        <v>17.819000000000003</v>
      </c>
      <c r="BG49" s="149">
        <f t="shared" si="4"/>
        <v>7.2140000000000004</v>
      </c>
      <c r="BH49" s="154"/>
      <c r="BI49" s="155"/>
      <c r="BJ49" s="155"/>
      <c r="BK49" s="155"/>
      <c r="BL49" s="155">
        <v>9.0000000000000011E-3</v>
      </c>
      <c r="BM49" s="155">
        <v>10.9660492</v>
      </c>
      <c r="BN49" s="155"/>
      <c r="BO49" s="155"/>
      <c r="BP49" s="171"/>
      <c r="BQ49" s="155"/>
      <c r="BR49" s="155">
        <v>16</v>
      </c>
      <c r="BS49" s="167">
        <v>21.887</v>
      </c>
      <c r="BT49" s="154">
        <v>0.03</v>
      </c>
      <c r="BU49" s="155">
        <v>6.4889999999999999</v>
      </c>
      <c r="BV49" s="155">
        <v>2</v>
      </c>
      <c r="BW49" s="155">
        <v>0.55100000000000005</v>
      </c>
      <c r="BX49" s="159">
        <v>2</v>
      </c>
      <c r="BY49" s="155">
        <v>3.5649999999999999</v>
      </c>
      <c r="BZ49" s="155">
        <v>44</v>
      </c>
      <c r="CA49" s="167">
        <v>7.2140000000000004</v>
      </c>
    </row>
    <row r="50" spans="1:79">
      <c r="A50" s="132"/>
      <c r="B50" s="160" t="s">
        <v>103</v>
      </c>
      <c r="C50" s="134"/>
      <c r="D50" s="135"/>
      <c r="E50" s="136"/>
      <c r="F50" s="137"/>
      <c r="G50" s="137"/>
      <c r="H50" s="137"/>
      <c r="I50" s="137"/>
      <c r="J50" s="137"/>
      <c r="K50" s="138"/>
      <c r="L50" s="139"/>
      <c r="M50" s="140"/>
      <c r="N50" s="154"/>
      <c r="O50" s="155"/>
      <c r="P50" s="155"/>
      <c r="Q50" s="155"/>
      <c r="R50" s="162"/>
      <c r="S50" s="163"/>
      <c r="T50" s="163">
        <v>15</v>
      </c>
      <c r="U50" s="163">
        <v>1.41522336945</v>
      </c>
      <c r="V50" s="163"/>
      <c r="W50" s="161"/>
      <c r="X50" s="162"/>
      <c r="Y50" s="161"/>
      <c r="Z50" s="162">
        <v>8.5500000000000007E-2</v>
      </c>
      <c r="AA50" s="164">
        <f t="shared" si="3"/>
        <v>15.69137092065</v>
      </c>
      <c r="AB50" s="161">
        <v>15.82496092065</v>
      </c>
      <c r="AC50" s="162"/>
      <c r="AD50" s="161"/>
      <c r="AE50" s="162"/>
      <c r="AF50" s="161"/>
      <c r="AG50" s="162"/>
      <c r="AH50" s="161"/>
      <c r="AI50" s="162">
        <v>4</v>
      </c>
      <c r="AJ50" s="163">
        <v>2.7100080000000002</v>
      </c>
      <c r="AK50" s="162"/>
      <c r="AL50" s="161"/>
      <c r="AM50" s="162"/>
      <c r="AN50" s="161"/>
      <c r="AO50" s="162"/>
      <c r="AP50" s="161"/>
      <c r="AQ50" s="165"/>
      <c r="AR50" s="166"/>
      <c r="AS50" s="162"/>
      <c r="AT50" s="161"/>
      <c r="AU50" s="162"/>
      <c r="AV50" s="167"/>
      <c r="AW50" s="168"/>
      <c r="AX50" s="168"/>
      <c r="AY50" s="168"/>
      <c r="AZ50" s="162"/>
      <c r="BA50" s="161"/>
      <c r="BB50" s="169"/>
      <c r="BC50" s="170">
        <v>1.5603815400000001</v>
      </c>
      <c r="BD50" s="153">
        <f t="shared" si="2"/>
        <v>34.915023776799998</v>
      </c>
      <c r="BE50" s="154">
        <f t="shared" si="0"/>
        <v>3.8984499467</v>
      </c>
      <c r="BF50" s="155">
        <f t="shared" si="1"/>
        <v>4.8709999999999996</v>
      </c>
      <c r="BG50" s="149">
        <f t="shared" si="4"/>
        <v>4.6349999999999998</v>
      </c>
      <c r="BH50" s="154"/>
      <c r="BI50" s="155"/>
      <c r="BJ50" s="155"/>
      <c r="BK50" s="155"/>
      <c r="BL50" s="155">
        <v>1E-3</v>
      </c>
      <c r="BM50" s="155">
        <v>0.79444994670000002</v>
      </c>
      <c r="BN50" s="155"/>
      <c r="BO50" s="155"/>
      <c r="BP50" s="171"/>
      <c r="BQ50" s="155"/>
      <c r="BR50" s="155">
        <v>4</v>
      </c>
      <c r="BS50" s="167">
        <v>3.1040000000000001</v>
      </c>
      <c r="BT50" s="154"/>
      <c r="BU50" s="155"/>
      <c r="BV50" s="155">
        <v>1</v>
      </c>
      <c r="BW50" s="155">
        <v>0.23599999999999999</v>
      </c>
      <c r="BX50" s="159"/>
      <c r="BY50" s="155"/>
      <c r="BZ50" s="155">
        <v>35</v>
      </c>
      <c r="CA50" s="167">
        <v>4.6349999999999998</v>
      </c>
    </row>
    <row r="51" spans="1:79">
      <c r="A51" s="132"/>
      <c r="B51" s="160" t="s">
        <v>104</v>
      </c>
      <c r="C51" s="134"/>
      <c r="D51" s="135"/>
      <c r="E51" s="136"/>
      <c r="F51" s="137"/>
      <c r="G51" s="137"/>
      <c r="H51" s="137"/>
      <c r="I51" s="137"/>
      <c r="J51" s="137"/>
      <c r="K51" s="138"/>
      <c r="L51" s="139"/>
      <c r="M51" s="140"/>
      <c r="N51" s="154"/>
      <c r="O51" s="155"/>
      <c r="P51" s="155"/>
      <c r="Q51" s="155"/>
      <c r="R51" s="162"/>
      <c r="S51" s="163"/>
      <c r="T51" s="163"/>
      <c r="U51" s="163"/>
      <c r="V51" s="163"/>
      <c r="W51" s="161"/>
      <c r="X51" s="162"/>
      <c r="Y51" s="161"/>
      <c r="Z51" s="162"/>
      <c r="AA51" s="164"/>
      <c r="AB51" s="161"/>
      <c r="AC51" s="162"/>
      <c r="AD51" s="161"/>
      <c r="AE51" s="162"/>
      <c r="AF51" s="161"/>
      <c r="AG51" s="162"/>
      <c r="AH51" s="161"/>
      <c r="AI51" s="162">
        <v>2</v>
      </c>
      <c r="AJ51" s="163">
        <v>1.9057599999999999</v>
      </c>
      <c r="AK51" s="162"/>
      <c r="AL51" s="161"/>
      <c r="AM51" s="162"/>
      <c r="AN51" s="161"/>
      <c r="AO51" s="162"/>
      <c r="AP51" s="161"/>
      <c r="AQ51" s="165"/>
      <c r="AR51" s="166"/>
      <c r="AS51" s="162">
        <v>0.02</v>
      </c>
      <c r="AT51" s="161">
        <v>39.591230469999999</v>
      </c>
      <c r="AU51" s="162"/>
      <c r="AV51" s="167"/>
      <c r="AW51" s="168"/>
      <c r="AX51" s="168"/>
      <c r="AY51" s="168"/>
      <c r="AZ51" s="162"/>
      <c r="BA51" s="161"/>
      <c r="BB51" s="169"/>
      <c r="BC51" s="170"/>
      <c r="BD51" s="153">
        <f t="shared" si="2"/>
        <v>53.032990469999994</v>
      </c>
      <c r="BE51" s="154">
        <f t="shared" si="0"/>
        <v>6.8819999999999997</v>
      </c>
      <c r="BF51" s="155">
        <f t="shared" si="1"/>
        <v>2.4489999999999998</v>
      </c>
      <c r="BG51" s="149">
        <f t="shared" si="4"/>
        <v>2.2050000000000001</v>
      </c>
      <c r="BH51" s="154"/>
      <c r="BI51" s="155"/>
      <c r="BJ51" s="155"/>
      <c r="BK51" s="155"/>
      <c r="BL51" s="155"/>
      <c r="BM51" s="155"/>
      <c r="BN51" s="155"/>
      <c r="BO51" s="155"/>
      <c r="BP51" s="171"/>
      <c r="BQ51" s="155"/>
      <c r="BR51" s="155">
        <v>5</v>
      </c>
      <c r="BS51" s="167">
        <v>6.8819999999999997</v>
      </c>
      <c r="BT51" s="154"/>
      <c r="BU51" s="155"/>
      <c r="BV51" s="155">
        <v>1</v>
      </c>
      <c r="BW51" s="155">
        <v>0.24399999999999999</v>
      </c>
      <c r="BX51" s="159"/>
      <c r="BY51" s="155"/>
      <c r="BZ51" s="155">
        <v>12</v>
      </c>
      <c r="CA51" s="167">
        <v>2.2050000000000001</v>
      </c>
    </row>
    <row r="52" spans="1:79">
      <c r="A52" s="132"/>
      <c r="B52" s="160" t="s">
        <v>105</v>
      </c>
      <c r="C52" s="134"/>
      <c r="D52" s="135"/>
      <c r="E52" s="136"/>
      <c r="F52" s="137"/>
      <c r="G52" s="137"/>
      <c r="H52" s="137"/>
      <c r="I52" s="137"/>
      <c r="J52" s="137"/>
      <c r="K52" s="138"/>
      <c r="L52" s="139"/>
      <c r="M52" s="140"/>
      <c r="N52" s="154"/>
      <c r="O52" s="155"/>
      <c r="P52" s="155"/>
      <c r="Q52" s="155"/>
      <c r="R52" s="162"/>
      <c r="S52" s="163"/>
      <c r="T52" s="163">
        <v>50</v>
      </c>
      <c r="U52" s="163">
        <v>2.3590129085</v>
      </c>
      <c r="V52" s="163"/>
      <c r="W52" s="161"/>
      <c r="X52" s="162"/>
      <c r="Y52" s="161"/>
      <c r="Z52" s="162">
        <v>6.3E-2</v>
      </c>
      <c r="AA52" s="164">
        <f t="shared" si="3"/>
        <v>14.082626085480001</v>
      </c>
      <c r="AB52" s="161">
        <v>14.216216085480001</v>
      </c>
      <c r="AC52" s="162">
        <v>2.1000000000000001E-2</v>
      </c>
      <c r="AD52" s="161">
        <v>6.4280586720000006</v>
      </c>
      <c r="AE52" s="162"/>
      <c r="AF52" s="161"/>
      <c r="AG52" s="162"/>
      <c r="AH52" s="161"/>
      <c r="AI52" s="162">
        <v>2</v>
      </c>
      <c r="AJ52" s="163">
        <v>0.95529874999999997</v>
      </c>
      <c r="AK52" s="162"/>
      <c r="AL52" s="161"/>
      <c r="AM52" s="162">
        <v>1</v>
      </c>
      <c r="AN52" s="161">
        <v>1.5109999999999999</v>
      </c>
      <c r="AO52" s="162"/>
      <c r="AP52" s="161"/>
      <c r="AQ52" s="165">
        <v>1</v>
      </c>
      <c r="AR52" s="166">
        <v>1.8422335000000001</v>
      </c>
      <c r="AS52" s="162"/>
      <c r="AT52" s="161"/>
      <c r="AU52" s="162"/>
      <c r="AV52" s="167"/>
      <c r="AW52" s="168"/>
      <c r="AX52" s="168"/>
      <c r="AY52" s="168"/>
      <c r="AZ52" s="162"/>
      <c r="BA52" s="161"/>
      <c r="BB52" s="169"/>
      <c r="BC52" s="170">
        <v>0.60692613500000003</v>
      </c>
      <c r="BD52" s="153">
        <f t="shared" si="2"/>
        <v>45.534746050980004</v>
      </c>
      <c r="BE52" s="154">
        <f t="shared" si="0"/>
        <v>9.4140000000000015</v>
      </c>
      <c r="BF52" s="155">
        <f t="shared" si="1"/>
        <v>6.0149999999999997</v>
      </c>
      <c r="BG52" s="149">
        <f t="shared" si="4"/>
        <v>2.1869999999999998</v>
      </c>
      <c r="BH52" s="154"/>
      <c r="BI52" s="155"/>
      <c r="BJ52" s="155"/>
      <c r="BK52" s="155"/>
      <c r="BL52" s="155"/>
      <c r="BM52" s="155"/>
      <c r="BN52" s="155">
        <v>1E-3</v>
      </c>
      <c r="BO52" s="155">
        <v>0.627</v>
      </c>
      <c r="BP52" s="171"/>
      <c r="BQ52" s="155"/>
      <c r="BR52" s="155">
        <v>6</v>
      </c>
      <c r="BS52" s="167">
        <v>8.7870000000000008</v>
      </c>
      <c r="BT52" s="154"/>
      <c r="BU52" s="155"/>
      <c r="BV52" s="155">
        <v>2</v>
      </c>
      <c r="BW52" s="155">
        <v>0.72199999999999998</v>
      </c>
      <c r="BX52" s="159">
        <v>2</v>
      </c>
      <c r="BY52" s="155">
        <v>3.1059999999999999</v>
      </c>
      <c r="BZ52" s="155">
        <v>11</v>
      </c>
      <c r="CA52" s="167">
        <v>2.1869999999999998</v>
      </c>
    </row>
    <row r="53" spans="1:79">
      <c r="A53" s="132"/>
      <c r="B53" s="160" t="s">
        <v>106</v>
      </c>
      <c r="C53" s="134"/>
      <c r="D53" s="135"/>
      <c r="E53" s="136"/>
      <c r="F53" s="137"/>
      <c r="G53" s="137"/>
      <c r="H53" s="137"/>
      <c r="I53" s="137"/>
      <c r="J53" s="137"/>
      <c r="K53" s="138"/>
      <c r="L53" s="139"/>
      <c r="M53" s="140"/>
      <c r="N53" s="154"/>
      <c r="O53" s="155"/>
      <c r="P53" s="155"/>
      <c r="Q53" s="155"/>
      <c r="R53" s="162">
        <v>2</v>
      </c>
      <c r="S53" s="163">
        <v>0.26530620599999999</v>
      </c>
      <c r="T53" s="163"/>
      <c r="U53" s="163"/>
      <c r="V53" s="163"/>
      <c r="W53" s="161"/>
      <c r="X53" s="162"/>
      <c r="Y53" s="161"/>
      <c r="Z53" s="162">
        <v>1.8100000000000002E-2</v>
      </c>
      <c r="AA53" s="164">
        <f t="shared" si="3"/>
        <v>3.3549997104200004</v>
      </c>
      <c r="AB53" s="161">
        <v>3.4885897104200003</v>
      </c>
      <c r="AC53" s="162">
        <v>5.5999999999999999E-3</v>
      </c>
      <c r="AD53" s="161">
        <v>1.7141489792</v>
      </c>
      <c r="AE53" s="162"/>
      <c r="AF53" s="161"/>
      <c r="AG53" s="162"/>
      <c r="AH53" s="161"/>
      <c r="AI53" s="162"/>
      <c r="AJ53" s="163"/>
      <c r="AK53" s="162"/>
      <c r="AL53" s="161"/>
      <c r="AM53" s="162"/>
      <c r="AN53" s="161"/>
      <c r="AO53" s="162"/>
      <c r="AP53" s="161"/>
      <c r="AQ53" s="165"/>
      <c r="AR53" s="166"/>
      <c r="AS53" s="162"/>
      <c r="AT53" s="161"/>
      <c r="AU53" s="162"/>
      <c r="AV53" s="167"/>
      <c r="AW53" s="168"/>
      <c r="AX53" s="168"/>
      <c r="AY53" s="168"/>
      <c r="AZ53" s="162"/>
      <c r="BA53" s="161"/>
      <c r="BB53" s="169"/>
      <c r="BC53" s="170">
        <v>1.345371724</v>
      </c>
      <c r="BD53" s="153">
        <f t="shared" si="2"/>
        <v>24.975416619619999</v>
      </c>
      <c r="BE53" s="154">
        <f t="shared" si="0"/>
        <v>7.1050000000000004</v>
      </c>
      <c r="BF53" s="155">
        <f t="shared" si="1"/>
        <v>6.3870000000000005</v>
      </c>
      <c r="BG53" s="149">
        <f t="shared" si="4"/>
        <v>4.67</v>
      </c>
      <c r="BH53" s="154"/>
      <c r="BI53" s="155"/>
      <c r="BJ53" s="155"/>
      <c r="BK53" s="155"/>
      <c r="BL53" s="155"/>
      <c r="BM53" s="155"/>
      <c r="BN53" s="155"/>
      <c r="BO53" s="155"/>
      <c r="BP53" s="171"/>
      <c r="BQ53" s="155"/>
      <c r="BR53" s="155">
        <v>7</v>
      </c>
      <c r="BS53" s="167">
        <v>7.1050000000000004</v>
      </c>
      <c r="BT53" s="154">
        <v>3.0000000000000001E-3</v>
      </c>
      <c r="BU53" s="155">
        <v>0.77200000000000002</v>
      </c>
      <c r="BV53" s="155">
        <v>4</v>
      </c>
      <c r="BW53" s="155">
        <v>0.94499999999999995</v>
      </c>
      <c r="BX53" s="159"/>
      <c r="BY53" s="155"/>
      <c r="BZ53" s="155">
        <v>27</v>
      </c>
      <c r="CA53" s="167">
        <v>4.67</v>
      </c>
    </row>
    <row r="54" spans="1:79">
      <c r="A54" s="132"/>
      <c r="B54" s="160" t="s">
        <v>107</v>
      </c>
      <c r="C54" s="134"/>
      <c r="D54" s="135"/>
      <c r="E54" s="136"/>
      <c r="F54" s="137"/>
      <c r="G54" s="137"/>
      <c r="H54" s="137"/>
      <c r="I54" s="137"/>
      <c r="J54" s="137"/>
      <c r="K54" s="138"/>
      <c r="L54" s="139"/>
      <c r="M54" s="140"/>
      <c r="N54" s="154">
        <f>0.015+0.005</f>
        <v>0.02</v>
      </c>
      <c r="O54" s="155">
        <f>0.9+12.014</f>
        <v>12.914</v>
      </c>
      <c r="P54" s="155"/>
      <c r="Q54" s="155"/>
      <c r="R54" s="162"/>
      <c r="S54" s="163"/>
      <c r="T54" s="163"/>
      <c r="U54" s="163"/>
      <c r="V54" s="163"/>
      <c r="W54" s="161"/>
      <c r="X54" s="162"/>
      <c r="Y54" s="161"/>
      <c r="Z54" s="162"/>
      <c r="AA54" s="164"/>
      <c r="AB54" s="161"/>
      <c r="AC54" s="162"/>
      <c r="AD54" s="161"/>
      <c r="AE54" s="162"/>
      <c r="AF54" s="161"/>
      <c r="AG54" s="162"/>
      <c r="AH54" s="161"/>
      <c r="AI54" s="162"/>
      <c r="AJ54" s="163"/>
      <c r="AK54" s="162"/>
      <c r="AL54" s="161"/>
      <c r="AM54" s="162"/>
      <c r="AN54" s="161"/>
      <c r="AO54" s="162"/>
      <c r="AP54" s="161"/>
      <c r="AQ54" s="165"/>
      <c r="AR54" s="166"/>
      <c r="AS54" s="162"/>
      <c r="AT54" s="161"/>
      <c r="AU54" s="162"/>
      <c r="AV54" s="167"/>
      <c r="AW54" s="168"/>
      <c r="AX54" s="168"/>
      <c r="AY54" s="168"/>
      <c r="AZ54" s="162"/>
      <c r="BA54" s="161"/>
      <c r="BB54" s="169"/>
      <c r="BC54" s="170"/>
      <c r="BD54" s="153">
        <f t="shared" si="2"/>
        <v>36.652831435000003</v>
      </c>
      <c r="BE54" s="154">
        <f t="shared" si="0"/>
        <v>9.5328314350000003</v>
      </c>
      <c r="BF54" s="155">
        <f t="shared" si="1"/>
        <v>9.7940000000000005</v>
      </c>
      <c r="BG54" s="149">
        <f t="shared" si="4"/>
        <v>4.4119999999999999</v>
      </c>
      <c r="BH54" s="154"/>
      <c r="BI54" s="155"/>
      <c r="BJ54" s="155">
        <v>5.0000000000000001E-3</v>
      </c>
      <c r="BK54" s="155">
        <v>4.7948314349999999</v>
      </c>
      <c r="BL54" s="155"/>
      <c r="BM54" s="155"/>
      <c r="BN54" s="155"/>
      <c r="BO54" s="155"/>
      <c r="BP54" s="171"/>
      <c r="BQ54" s="155"/>
      <c r="BR54" s="155">
        <v>3</v>
      </c>
      <c r="BS54" s="167">
        <v>4.7380000000000004</v>
      </c>
      <c r="BT54" s="154">
        <v>0.02</v>
      </c>
      <c r="BU54" s="155">
        <v>5.1459999999999999</v>
      </c>
      <c r="BV54" s="155">
        <v>1</v>
      </c>
      <c r="BW54" s="155">
        <v>0.23599999999999999</v>
      </c>
      <c r="BX54" s="159"/>
      <c r="BY54" s="155"/>
      <c r="BZ54" s="155">
        <v>12</v>
      </c>
      <c r="CA54" s="167">
        <v>4.4119999999999999</v>
      </c>
    </row>
    <row r="55" spans="1:79">
      <c r="A55" s="132"/>
      <c r="B55" s="160" t="s">
        <v>108</v>
      </c>
      <c r="C55" s="134"/>
      <c r="D55" s="135"/>
      <c r="E55" s="136"/>
      <c r="F55" s="137"/>
      <c r="G55" s="137"/>
      <c r="H55" s="137"/>
      <c r="I55" s="137"/>
      <c r="J55" s="137"/>
      <c r="K55" s="138"/>
      <c r="L55" s="139"/>
      <c r="M55" s="140"/>
      <c r="N55" s="154">
        <v>0.05</v>
      </c>
      <c r="O55" s="155">
        <v>11.45587255</v>
      </c>
      <c r="P55" s="155"/>
      <c r="Q55" s="155"/>
      <c r="R55" s="162">
        <v>4</v>
      </c>
      <c r="S55" s="163">
        <v>0.53061241199999998</v>
      </c>
      <c r="T55" s="163">
        <v>78</v>
      </c>
      <c r="U55" s="163">
        <v>3.6800601372599999</v>
      </c>
      <c r="V55" s="163"/>
      <c r="W55" s="161"/>
      <c r="X55" s="162"/>
      <c r="Y55" s="161"/>
      <c r="Z55" s="162">
        <v>1E-3</v>
      </c>
      <c r="AA55" s="164"/>
      <c r="AB55" s="161">
        <v>0.10456424900000001</v>
      </c>
      <c r="AC55" s="162"/>
      <c r="AD55" s="161"/>
      <c r="AE55" s="162"/>
      <c r="AF55" s="161"/>
      <c r="AG55" s="162"/>
      <c r="AH55" s="161"/>
      <c r="AI55" s="162"/>
      <c r="AJ55" s="163"/>
      <c r="AK55" s="162"/>
      <c r="AL55" s="161"/>
      <c r="AM55" s="162"/>
      <c r="AN55" s="161"/>
      <c r="AO55" s="162"/>
      <c r="AP55" s="161"/>
      <c r="AQ55" s="165"/>
      <c r="AR55" s="166"/>
      <c r="AS55" s="162"/>
      <c r="AT55" s="161"/>
      <c r="AU55" s="162"/>
      <c r="AV55" s="167"/>
      <c r="AW55" s="168"/>
      <c r="AX55" s="168"/>
      <c r="AY55" s="168"/>
      <c r="AZ55" s="162"/>
      <c r="BA55" s="161"/>
      <c r="BB55" s="169"/>
      <c r="BC55" s="170">
        <v>7.0224806609999995</v>
      </c>
      <c r="BD55" s="153">
        <f t="shared" si="2"/>
        <v>97.472253152660016</v>
      </c>
      <c r="BE55" s="154">
        <f t="shared" si="0"/>
        <v>35.128663143400004</v>
      </c>
      <c r="BF55" s="155">
        <f t="shared" si="1"/>
        <v>26.519000000000002</v>
      </c>
      <c r="BG55" s="149">
        <f t="shared" si="4"/>
        <v>13.031000000000001</v>
      </c>
      <c r="BH55" s="154"/>
      <c r="BI55" s="155"/>
      <c r="BJ55" s="155"/>
      <c r="BK55" s="155"/>
      <c r="BL55" s="155">
        <v>7.0000000000000001E-3</v>
      </c>
      <c r="BM55" s="155">
        <v>6.0801164773999998</v>
      </c>
      <c r="BN55" s="155">
        <v>3.0000000000000001E-3</v>
      </c>
      <c r="BO55" s="155">
        <v>1.9650000000000001</v>
      </c>
      <c r="BP55" s="171">
        <v>2</v>
      </c>
      <c r="BQ55" s="155">
        <v>3.294546666</v>
      </c>
      <c r="BR55" s="155">
        <v>16</v>
      </c>
      <c r="BS55" s="167">
        <v>23.789000000000001</v>
      </c>
      <c r="BT55" s="154"/>
      <c r="BU55" s="155"/>
      <c r="BV55" s="155">
        <v>2</v>
      </c>
      <c r="BW55" s="155">
        <v>0.54700000000000004</v>
      </c>
      <c r="BX55" s="159">
        <v>6</v>
      </c>
      <c r="BY55" s="155">
        <v>12.941000000000001</v>
      </c>
      <c r="BZ55" s="155">
        <v>69</v>
      </c>
      <c r="CA55" s="167">
        <v>13.031000000000001</v>
      </c>
    </row>
    <row r="56" spans="1:79">
      <c r="A56" s="132"/>
      <c r="B56" s="160" t="s">
        <v>109</v>
      </c>
      <c r="C56" s="134"/>
      <c r="D56" s="135"/>
      <c r="E56" s="136"/>
      <c r="F56" s="137"/>
      <c r="G56" s="137"/>
      <c r="H56" s="137"/>
      <c r="I56" s="137"/>
      <c r="J56" s="137"/>
      <c r="K56" s="138"/>
      <c r="L56" s="139"/>
      <c r="M56" s="140"/>
      <c r="N56" s="154"/>
      <c r="O56" s="155"/>
      <c r="P56" s="155"/>
      <c r="Q56" s="155"/>
      <c r="R56" s="162">
        <v>5</v>
      </c>
      <c r="S56" s="163">
        <v>0.66326551499999997</v>
      </c>
      <c r="T56" s="163">
        <v>128</v>
      </c>
      <c r="U56" s="163">
        <v>6.0390730457600004</v>
      </c>
      <c r="V56" s="163"/>
      <c r="W56" s="161"/>
      <c r="X56" s="162"/>
      <c r="Y56" s="161"/>
      <c r="Z56" s="162"/>
      <c r="AA56" s="164"/>
      <c r="AB56" s="161"/>
      <c r="AC56" s="162"/>
      <c r="AD56" s="161"/>
      <c r="AE56" s="162"/>
      <c r="AF56" s="161"/>
      <c r="AG56" s="162"/>
      <c r="AH56" s="161"/>
      <c r="AI56" s="162"/>
      <c r="AJ56" s="163"/>
      <c r="AK56" s="162"/>
      <c r="AL56" s="161"/>
      <c r="AM56" s="162"/>
      <c r="AN56" s="161"/>
      <c r="AO56" s="162"/>
      <c r="AP56" s="161"/>
      <c r="AQ56" s="165">
        <v>1</v>
      </c>
      <c r="AR56" s="166">
        <v>8.7809399999999996E-2</v>
      </c>
      <c r="AS56" s="162"/>
      <c r="AT56" s="161"/>
      <c r="AU56" s="162"/>
      <c r="AV56" s="167"/>
      <c r="AW56" s="168"/>
      <c r="AX56" s="168">
        <v>1</v>
      </c>
      <c r="AY56" s="168">
        <v>3.9702402750000001</v>
      </c>
      <c r="AZ56" s="162"/>
      <c r="BA56" s="161"/>
      <c r="BB56" s="169"/>
      <c r="BC56" s="170">
        <v>2.1352871589999998</v>
      </c>
      <c r="BD56" s="153">
        <f t="shared" si="2"/>
        <v>73.308311721959996</v>
      </c>
      <c r="BE56" s="154">
        <f t="shared" si="0"/>
        <v>26.406636327199998</v>
      </c>
      <c r="BF56" s="155">
        <f t="shared" si="1"/>
        <v>22.115000000000002</v>
      </c>
      <c r="BG56" s="149">
        <f t="shared" si="4"/>
        <v>11.891</v>
      </c>
      <c r="BH56" s="154"/>
      <c r="BI56" s="155"/>
      <c r="BJ56" s="155">
        <v>4.0000000000000001E-3</v>
      </c>
      <c r="BK56" s="155">
        <v>3.2425066668000002</v>
      </c>
      <c r="BL56" s="155">
        <v>4.0000000000000001E-3</v>
      </c>
      <c r="BM56" s="155">
        <v>3.1991296604000001</v>
      </c>
      <c r="BN56" s="155">
        <v>1E-3</v>
      </c>
      <c r="BO56" s="155">
        <v>1.03</v>
      </c>
      <c r="BP56" s="171"/>
      <c r="BQ56" s="155"/>
      <c r="BR56" s="155">
        <v>19</v>
      </c>
      <c r="BS56" s="167">
        <v>18.934999999999999</v>
      </c>
      <c r="BT56" s="154">
        <v>2.5999999999999999E-2</v>
      </c>
      <c r="BU56" s="155">
        <v>5.6230000000000002</v>
      </c>
      <c r="BV56" s="155">
        <v>2</v>
      </c>
      <c r="BW56" s="155">
        <v>0.48899999999999999</v>
      </c>
      <c r="BX56" s="159">
        <v>3</v>
      </c>
      <c r="BY56" s="155">
        <v>4.1120000000000001</v>
      </c>
      <c r="BZ56" s="155">
        <v>46</v>
      </c>
      <c r="CA56" s="167">
        <v>11.891</v>
      </c>
    </row>
    <row r="57" spans="1:79">
      <c r="A57" s="132"/>
      <c r="B57" s="160" t="s">
        <v>110</v>
      </c>
      <c r="C57" s="134"/>
      <c r="D57" s="135"/>
      <c r="E57" s="136"/>
      <c r="F57" s="137"/>
      <c r="G57" s="137"/>
      <c r="H57" s="137"/>
      <c r="I57" s="137"/>
      <c r="J57" s="137"/>
      <c r="K57" s="138"/>
      <c r="L57" s="139"/>
      <c r="M57" s="140"/>
      <c r="N57" s="154"/>
      <c r="O57" s="155"/>
      <c r="P57" s="155"/>
      <c r="Q57" s="155"/>
      <c r="R57" s="162"/>
      <c r="S57" s="163"/>
      <c r="T57" s="163">
        <v>12</v>
      </c>
      <c r="U57" s="163">
        <v>1.1321786955600002</v>
      </c>
      <c r="V57" s="163"/>
      <c r="W57" s="161"/>
      <c r="X57" s="162"/>
      <c r="Y57" s="161"/>
      <c r="Z57" s="162"/>
      <c r="AA57" s="164"/>
      <c r="AB57" s="161"/>
      <c r="AC57" s="162"/>
      <c r="AD57" s="161"/>
      <c r="AE57" s="162"/>
      <c r="AF57" s="161"/>
      <c r="AG57" s="162"/>
      <c r="AH57" s="161"/>
      <c r="AI57" s="162"/>
      <c r="AJ57" s="163"/>
      <c r="AK57" s="162"/>
      <c r="AL57" s="161"/>
      <c r="AM57" s="162"/>
      <c r="AN57" s="161"/>
      <c r="AO57" s="162"/>
      <c r="AP57" s="161"/>
      <c r="AQ57" s="165"/>
      <c r="AR57" s="166"/>
      <c r="AS57" s="162"/>
      <c r="AT57" s="161"/>
      <c r="AU57" s="162"/>
      <c r="AV57" s="167"/>
      <c r="AW57" s="168"/>
      <c r="AX57" s="168"/>
      <c r="AY57" s="168"/>
      <c r="AZ57" s="162"/>
      <c r="BA57" s="161"/>
      <c r="BB57" s="169"/>
      <c r="BC57" s="170"/>
      <c r="BD57" s="153">
        <f t="shared" si="2"/>
        <v>20.573178695559999</v>
      </c>
      <c r="BE57" s="154">
        <f t="shared" si="0"/>
        <v>13.951000000000001</v>
      </c>
      <c r="BF57" s="155">
        <f t="shared" si="1"/>
        <v>2.8629999999999995</v>
      </c>
      <c r="BG57" s="149">
        <f t="shared" si="4"/>
        <v>2.6269999999999998</v>
      </c>
      <c r="BH57" s="154"/>
      <c r="BI57" s="155"/>
      <c r="BJ57" s="155"/>
      <c r="BK57" s="155"/>
      <c r="BL57" s="155"/>
      <c r="BM57" s="155"/>
      <c r="BN57" s="155"/>
      <c r="BO57" s="155"/>
      <c r="BP57" s="171"/>
      <c r="BQ57" s="155"/>
      <c r="BR57" s="155">
        <v>10</v>
      </c>
      <c r="BS57" s="167">
        <v>13.951000000000001</v>
      </c>
      <c r="BT57" s="154"/>
      <c r="BU57" s="155"/>
      <c r="BV57" s="155">
        <v>1</v>
      </c>
      <c r="BW57" s="155">
        <v>0.23599999999999999</v>
      </c>
      <c r="BX57" s="159"/>
      <c r="BY57" s="155"/>
      <c r="BZ57" s="155">
        <v>24</v>
      </c>
      <c r="CA57" s="167">
        <v>2.6269999999999998</v>
      </c>
    </row>
    <row r="58" spans="1:79">
      <c r="A58" s="132"/>
      <c r="B58" s="160" t="s">
        <v>111</v>
      </c>
      <c r="C58" s="134"/>
      <c r="D58" s="135"/>
      <c r="E58" s="136"/>
      <c r="F58" s="137"/>
      <c r="G58" s="137"/>
      <c r="H58" s="137"/>
      <c r="I58" s="137"/>
      <c r="J58" s="137"/>
      <c r="K58" s="138"/>
      <c r="L58" s="139"/>
      <c r="M58" s="140"/>
      <c r="N58" s="154"/>
      <c r="O58" s="155"/>
      <c r="P58" s="155"/>
      <c r="Q58" s="155"/>
      <c r="R58" s="162"/>
      <c r="S58" s="163"/>
      <c r="T58" s="163"/>
      <c r="U58" s="163"/>
      <c r="V58" s="163"/>
      <c r="W58" s="161"/>
      <c r="X58" s="162"/>
      <c r="Y58" s="161"/>
      <c r="Z58" s="162">
        <v>6.0000000000000001E-3</v>
      </c>
      <c r="AA58" s="164">
        <f t="shared" si="3"/>
        <v>0.43645924470000008</v>
      </c>
      <c r="AB58" s="161">
        <v>0.57004924470000007</v>
      </c>
      <c r="AC58" s="162"/>
      <c r="AD58" s="161"/>
      <c r="AE58" s="162"/>
      <c r="AF58" s="161"/>
      <c r="AG58" s="162"/>
      <c r="AH58" s="161"/>
      <c r="AI58" s="162"/>
      <c r="AJ58" s="163"/>
      <c r="AK58" s="162"/>
      <c r="AL58" s="161"/>
      <c r="AM58" s="162"/>
      <c r="AN58" s="161"/>
      <c r="AO58" s="162"/>
      <c r="AP58" s="161"/>
      <c r="AQ58" s="165">
        <v>2</v>
      </c>
      <c r="AR58" s="166">
        <v>2.3053561399999998</v>
      </c>
      <c r="AS58" s="162"/>
      <c r="AT58" s="161"/>
      <c r="AU58" s="162"/>
      <c r="AV58" s="167"/>
      <c r="AW58" s="168"/>
      <c r="AX58" s="168"/>
      <c r="AY58" s="168"/>
      <c r="AZ58" s="162"/>
      <c r="BA58" s="161"/>
      <c r="BB58" s="169"/>
      <c r="BC58" s="170"/>
      <c r="BD58" s="153">
        <f t="shared" si="2"/>
        <v>6.7254053847000002</v>
      </c>
      <c r="BE58" s="154">
        <f t="shared" si="0"/>
        <v>2.952</v>
      </c>
      <c r="BF58" s="155">
        <f t="shared" si="1"/>
        <v>0.56699999999999995</v>
      </c>
      <c r="BG58" s="149">
        <f t="shared" si="4"/>
        <v>0.33100000000000002</v>
      </c>
      <c r="BH58" s="154"/>
      <c r="BI58" s="155"/>
      <c r="BJ58" s="155"/>
      <c r="BK58" s="155"/>
      <c r="BL58" s="155"/>
      <c r="BM58" s="155"/>
      <c r="BN58" s="155"/>
      <c r="BO58" s="155"/>
      <c r="BP58" s="171"/>
      <c r="BQ58" s="155"/>
      <c r="BR58" s="155">
        <v>2</v>
      </c>
      <c r="BS58" s="167">
        <v>2.952</v>
      </c>
      <c r="BT58" s="154"/>
      <c r="BU58" s="155"/>
      <c r="BV58" s="155">
        <v>1</v>
      </c>
      <c r="BW58" s="155">
        <v>0.23599999999999999</v>
      </c>
      <c r="BX58" s="159"/>
      <c r="BY58" s="155"/>
      <c r="BZ58" s="155">
        <v>3</v>
      </c>
      <c r="CA58" s="167">
        <v>0.33100000000000002</v>
      </c>
    </row>
    <row r="59" spans="1:79">
      <c r="A59" s="132"/>
      <c r="B59" s="160" t="s">
        <v>112</v>
      </c>
      <c r="C59" s="134"/>
      <c r="D59" s="135"/>
      <c r="E59" s="136"/>
      <c r="F59" s="137"/>
      <c r="G59" s="137"/>
      <c r="H59" s="137"/>
      <c r="I59" s="137"/>
      <c r="J59" s="137"/>
      <c r="K59" s="138"/>
      <c r="L59" s="139"/>
      <c r="M59" s="140"/>
      <c r="N59" s="154"/>
      <c r="O59" s="155"/>
      <c r="P59" s="155"/>
      <c r="Q59" s="155"/>
      <c r="R59" s="162"/>
      <c r="S59" s="163"/>
      <c r="T59" s="163">
        <f>6+61.5</f>
        <v>67.5</v>
      </c>
      <c r="U59" s="163">
        <f>0.283+29.659</f>
        <v>29.942</v>
      </c>
      <c r="V59" s="163"/>
      <c r="W59" s="161"/>
      <c r="X59" s="162"/>
      <c r="Y59" s="161"/>
      <c r="Z59" s="162">
        <v>1.7000000000000001E-2</v>
      </c>
      <c r="AA59" s="164">
        <f t="shared" si="3"/>
        <v>6.2615781417000003</v>
      </c>
      <c r="AB59" s="161">
        <v>6.3951681417000001</v>
      </c>
      <c r="AC59" s="162">
        <v>5.8599999999999999E-2</v>
      </c>
      <c r="AD59" s="161">
        <v>25.880057932781998</v>
      </c>
      <c r="AE59" s="162"/>
      <c r="AF59" s="161"/>
      <c r="AG59" s="162"/>
      <c r="AH59" s="161"/>
      <c r="AI59" s="162">
        <v>2</v>
      </c>
      <c r="AJ59" s="163">
        <v>0.95529874999999997</v>
      </c>
      <c r="AK59" s="162"/>
      <c r="AL59" s="161"/>
      <c r="AM59" s="162"/>
      <c r="AN59" s="161"/>
      <c r="AO59" s="162"/>
      <c r="AP59" s="161"/>
      <c r="AQ59" s="165"/>
      <c r="AR59" s="166"/>
      <c r="AS59" s="162">
        <v>2.3300000000000001E-2</v>
      </c>
      <c r="AT59" s="161">
        <v>9.0988601651999996</v>
      </c>
      <c r="AU59" s="162"/>
      <c r="AV59" s="167"/>
      <c r="AW59" s="168"/>
      <c r="AX59" s="168">
        <v>1</v>
      </c>
      <c r="AY59" s="168">
        <v>2.6432159999999998</v>
      </c>
      <c r="AZ59" s="162">
        <v>2</v>
      </c>
      <c r="BA59" s="161">
        <v>5.4824950000000001</v>
      </c>
      <c r="BB59" s="169"/>
      <c r="BC59" s="170">
        <v>2.0313232129999998</v>
      </c>
      <c r="BD59" s="153">
        <f t="shared" si="2"/>
        <v>174.98502040958198</v>
      </c>
      <c r="BE59" s="154">
        <f t="shared" si="0"/>
        <v>79.333601206899999</v>
      </c>
      <c r="BF59" s="155">
        <f t="shared" si="1"/>
        <v>8.4819999999999993</v>
      </c>
      <c r="BG59" s="149">
        <f t="shared" si="4"/>
        <v>4.7409999999999997</v>
      </c>
      <c r="BH59" s="154"/>
      <c r="BI59" s="155"/>
      <c r="BJ59" s="155">
        <v>1E-3</v>
      </c>
      <c r="BK59" s="155">
        <v>1.003927097</v>
      </c>
      <c r="BL59" s="155">
        <v>5.8499999999999996E-2</v>
      </c>
      <c r="BM59" s="155">
        <v>46.821674109899995</v>
      </c>
      <c r="BN59" s="155">
        <v>1E-3</v>
      </c>
      <c r="BO59" s="155">
        <v>0.627</v>
      </c>
      <c r="BP59" s="171"/>
      <c r="BQ59" s="155"/>
      <c r="BR59" s="155">
        <v>33</v>
      </c>
      <c r="BS59" s="167">
        <v>30.881</v>
      </c>
      <c r="BT59" s="154">
        <v>5.0000000000000001E-3</v>
      </c>
      <c r="BU59" s="155">
        <v>3.4969999999999999</v>
      </c>
      <c r="BV59" s="155">
        <v>1</v>
      </c>
      <c r="BW59" s="155">
        <v>0.24399999999999999</v>
      </c>
      <c r="BX59" s="159"/>
      <c r="BY59" s="155"/>
      <c r="BZ59" s="155">
        <v>33</v>
      </c>
      <c r="CA59" s="167">
        <v>4.7409999999999997</v>
      </c>
    </row>
    <row r="60" spans="1:79">
      <c r="A60" s="132"/>
      <c r="B60" s="160" t="s">
        <v>113</v>
      </c>
      <c r="C60" s="134"/>
      <c r="D60" s="135"/>
      <c r="E60" s="136"/>
      <c r="F60" s="137"/>
      <c r="G60" s="137"/>
      <c r="H60" s="137"/>
      <c r="I60" s="137"/>
      <c r="J60" s="137"/>
      <c r="K60" s="138"/>
      <c r="L60" s="139"/>
      <c r="M60" s="140"/>
      <c r="N60" s="154">
        <v>4.4000000000000003E-3</v>
      </c>
      <c r="O60" s="155">
        <v>7.41892</v>
      </c>
      <c r="P60" s="155"/>
      <c r="Q60" s="155"/>
      <c r="R60" s="162"/>
      <c r="S60" s="163"/>
      <c r="T60" s="163"/>
      <c r="U60" s="163"/>
      <c r="V60" s="163"/>
      <c r="W60" s="161"/>
      <c r="X60" s="162"/>
      <c r="Y60" s="161"/>
      <c r="Z60" s="162">
        <v>4.8000000000000001E-2</v>
      </c>
      <c r="AA60" s="164">
        <f t="shared" si="3"/>
        <v>4.4268039576000007</v>
      </c>
      <c r="AB60" s="161">
        <v>4.5603939576000005</v>
      </c>
      <c r="AC60" s="162"/>
      <c r="AD60" s="161"/>
      <c r="AE60" s="162"/>
      <c r="AF60" s="161"/>
      <c r="AG60" s="162"/>
      <c r="AH60" s="161"/>
      <c r="AI60" s="162"/>
      <c r="AJ60" s="163"/>
      <c r="AK60" s="162"/>
      <c r="AL60" s="161"/>
      <c r="AM60" s="162"/>
      <c r="AN60" s="161"/>
      <c r="AO60" s="162"/>
      <c r="AP60" s="161"/>
      <c r="AQ60" s="165">
        <v>11</v>
      </c>
      <c r="AR60" s="166">
        <v>3.0295879939999999</v>
      </c>
      <c r="AS60" s="162"/>
      <c r="AT60" s="161"/>
      <c r="AU60" s="162"/>
      <c r="AV60" s="167"/>
      <c r="AW60" s="168"/>
      <c r="AX60" s="168"/>
      <c r="AY60" s="168"/>
      <c r="AZ60" s="162"/>
      <c r="BA60" s="161"/>
      <c r="BB60" s="169"/>
      <c r="BC60" s="170"/>
      <c r="BD60" s="153">
        <f t="shared" si="2"/>
        <v>45.623901951599997</v>
      </c>
      <c r="BE60" s="154">
        <f t="shared" si="0"/>
        <v>15.093</v>
      </c>
      <c r="BF60" s="155">
        <f t="shared" si="1"/>
        <v>9.2469999999999999</v>
      </c>
      <c r="BG60" s="149">
        <f t="shared" si="4"/>
        <v>6.2750000000000004</v>
      </c>
      <c r="BH60" s="154"/>
      <c r="BI60" s="155"/>
      <c r="BJ60" s="155"/>
      <c r="BK60" s="155"/>
      <c r="BL60" s="155"/>
      <c r="BM60" s="155"/>
      <c r="BN60" s="155"/>
      <c r="BO60" s="155"/>
      <c r="BP60" s="171"/>
      <c r="BQ60" s="155"/>
      <c r="BR60" s="155">
        <v>13</v>
      </c>
      <c r="BS60" s="167">
        <v>15.093</v>
      </c>
      <c r="BT60" s="154"/>
      <c r="BU60" s="155"/>
      <c r="BV60" s="155">
        <v>2</v>
      </c>
      <c r="BW60" s="155">
        <v>0.39200000000000002</v>
      </c>
      <c r="BX60" s="159">
        <v>1</v>
      </c>
      <c r="BY60" s="155">
        <v>2.58</v>
      </c>
      <c r="BZ60" s="155">
        <v>22</v>
      </c>
      <c r="CA60" s="167">
        <v>6.2750000000000004</v>
      </c>
    </row>
    <row r="61" spans="1:79">
      <c r="A61" s="132"/>
      <c r="B61" s="160" t="s">
        <v>114</v>
      </c>
      <c r="C61" s="134"/>
      <c r="D61" s="135"/>
      <c r="E61" s="136"/>
      <c r="F61" s="137"/>
      <c r="G61" s="137"/>
      <c r="H61" s="137"/>
      <c r="I61" s="137"/>
      <c r="J61" s="137"/>
      <c r="K61" s="138"/>
      <c r="L61" s="139"/>
      <c r="M61" s="140"/>
      <c r="N61" s="154"/>
      <c r="O61" s="155"/>
      <c r="P61" s="155"/>
      <c r="Q61" s="155"/>
      <c r="R61" s="162"/>
      <c r="S61" s="163"/>
      <c r="T61" s="163"/>
      <c r="U61" s="163"/>
      <c r="V61" s="163"/>
      <c r="W61" s="161"/>
      <c r="X61" s="162"/>
      <c r="Y61" s="161"/>
      <c r="Z61" s="162"/>
      <c r="AA61" s="164"/>
      <c r="AB61" s="161"/>
      <c r="AC61" s="162"/>
      <c r="AD61" s="161"/>
      <c r="AE61" s="162"/>
      <c r="AF61" s="161"/>
      <c r="AG61" s="162"/>
      <c r="AH61" s="161"/>
      <c r="AI61" s="162">
        <v>3</v>
      </c>
      <c r="AJ61" s="163">
        <v>1.3661799999999999</v>
      </c>
      <c r="AK61" s="162">
        <v>4.0000000000000001E-3</v>
      </c>
      <c r="AL61" s="161">
        <v>6.3367800000000001</v>
      </c>
      <c r="AM61" s="162"/>
      <c r="AN61" s="161"/>
      <c r="AO61" s="162"/>
      <c r="AP61" s="161"/>
      <c r="AQ61" s="165"/>
      <c r="AR61" s="166"/>
      <c r="AS61" s="162"/>
      <c r="AT61" s="161"/>
      <c r="AU61" s="162"/>
      <c r="AV61" s="167"/>
      <c r="AW61" s="168"/>
      <c r="AX61" s="168"/>
      <c r="AY61" s="168"/>
      <c r="AZ61" s="162"/>
      <c r="BA61" s="161"/>
      <c r="BB61" s="169"/>
      <c r="BC61" s="170">
        <v>1.3929912099999999</v>
      </c>
      <c r="BD61" s="153">
        <f t="shared" si="2"/>
        <v>35.099668209999997</v>
      </c>
      <c r="BE61" s="154">
        <f t="shared" si="0"/>
        <v>9.5647169999999999</v>
      </c>
      <c r="BF61" s="155">
        <f t="shared" si="1"/>
        <v>12.8</v>
      </c>
      <c r="BG61" s="149">
        <f t="shared" si="4"/>
        <v>3.6389999999999998</v>
      </c>
      <c r="BH61" s="154"/>
      <c r="BI61" s="155"/>
      <c r="BJ61" s="155"/>
      <c r="BK61" s="155"/>
      <c r="BL61" s="155">
        <v>3.0999999999999999E-3</v>
      </c>
      <c r="BM61" s="155">
        <v>2.5887169999999999</v>
      </c>
      <c r="BN61" s="155"/>
      <c r="BO61" s="155"/>
      <c r="BP61" s="171"/>
      <c r="BQ61" s="155"/>
      <c r="BR61" s="155">
        <v>8</v>
      </c>
      <c r="BS61" s="167">
        <v>6.976</v>
      </c>
      <c r="BT61" s="154">
        <v>1.4999999999999999E-2</v>
      </c>
      <c r="BU61" s="155">
        <v>3.86</v>
      </c>
      <c r="BV61" s="155">
        <v>1</v>
      </c>
      <c r="BW61" s="155">
        <v>0.24399999999999999</v>
      </c>
      <c r="BX61" s="159">
        <v>2</v>
      </c>
      <c r="BY61" s="155">
        <v>5.0570000000000004</v>
      </c>
      <c r="BZ61" s="155">
        <v>13</v>
      </c>
      <c r="CA61" s="167">
        <v>3.6389999999999998</v>
      </c>
    </row>
    <row r="62" spans="1:79">
      <c r="A62" s="132"/>
      <c r="B62" s="160" t="s">
        <v>115</v>
      </c>
      <c r="C62" s="134"/>
      <c r="D62" s="135"/>
      <c r="E62" s="136"/>
      <c r="F62" s="137"/>
      <c r="G62" s="137"/>
      <c r="H62" s="137"/>
      <c r="I62" s="137"/>
      <c r="J62" s="137"/>
      <c r="K62" s="138"/>
      <c r="L62" s="139"/>
      <c r="M62" s="140"/>
      <c r="N62" s="154"/>
      <c r="O62" s="155"/>
      <c r="P62" s="155"/>
      <c r="Q62" s="155"/>
      <c r="R62" s="162"/>
      <c r="S62" s="163"/>
      <c r="T62" s="163"/>
      <c r="U62" s="163"/>
      <c r="V62" s="163"/>
      <c r="W62" s="161"/>
      <c r="X62" s="162"/>
      <c r="Y62" s="161"/>
      <c r="Z62" s="162">
        <v>8.0000000000000002E-3</v>
      </c>
      <c r="AA62" s="164">
        <f t="shared" si="3"/>
        <v>0.70292399200000011</v>
      </c>
      <c r="AB62" s="161">
        <v>0.8365139920000001</v>
      </c>
      <c r="AC62" s="162"/>
      <c r="AD62" s="161"/>
      <c r="AE62" s="162"/>
      <c r="AF62" s="161"/>
      <c r="AG62" s="162"/>
      <c r="AH62" s="161"/>
      <c r="AI62" s="162"/>
      <c r="AJ62" s="163"/>
      <c r="AK62" s="162"/>
      <c r="AL62" s="161"/>
      <c r="AM62" s="162"/>
      <c r="AN62" s="161"/>
      <c r="AO62" s="162"/>
      <c r="AP62" s="161"/>
      <c r="AQ62" s="165">
        <v>6</v>
      </c>
      <c r="AR62" s="166">
        <v>0.5268564</v>
      </c>
      <c r="AS62" s="162"/>
      <c r="AT62" s="161"/>
      <c r="AU62" s="162"/>
      <c r="AV62" s="167"/>
      <c r="AW62" s="168"/>
      <c r="AX62" s="168"/>
      <c r="AY62" s="168"/>
      <c r="AZ62" s="162"/>
      <c r="BA62" s="161"/>
      <c r="BB62" s="169"/>
      <c r="BC62" s="170"/>
      <c r="BD62" s="153">
        <f t="shared" si="2"/>
        <v>20.249370391999999</v>
      </c>
      <c r="BE62" s="154">
        <f t="shared" si="0"/>
        <v>8.6820000000000004</v>
      </c>
      <c r="BF62" s="155">
        <f t="shared" si="1"/>
        <v>7.2720000000000002</v>
      </c>
      <c r="BG62" s="149">
        <f t="shared" si="4"/>
        <v>2.9319999999999999</v>
      </c>
      <c r="BH62" s="154"/>
      <c r="BI62" s="155"/>
      <c r="BJ62" s="155"/>
      <c r="BK62" s="155"/>
      <c r="BL62" s="155"/>
      <c r="BM62" s="155"/>
      <c r="BN62" s="155"/>
      <c r="BO62" s="155"/>
      <c r="BP62" s="171"/>
      <c r="BQ62" s="155"/>
      <c r="BR62" s="155">
        <v>9</v>
      </c>
      <c r="BS62" s="167">
        <v>8.6820000000000004</v>
      </c>
      <c r="BT62" s="154">
        <v>1.4999999999999999E-2</v>
      </c>
      <c r="BU62" s="155">
        <v>3.86</v>
      </c>
      <c r="BV62" s="155">
        <v>2</v>
      </c>
      <c r="BW62" s="155">
        <v>0.48</v>
      </c>
      <c r="BX62" s="159"/>
      <c r="BY62" s="155"/>
      <c r="BZ62" s="155">
        <v>16</v>
      </c>
      <c r="CA62" s="167">
        <v>2.9319999999999999</v>
      </c>
    </row>
    <row r="63" spans="1:79">
      <c r="A63" s="132"/>
      <c r="B63" s="160" t="s">
        <v>116</v>
      </c>
      <c r="C63" s="134"/>
      <c r="D63" s="135"/>
      <c r="E63" s="136"/>
      <c r="F63" s="137"/>
      <c r="G63" s="137"/>
      <c r="H63" s="137"/>
      <c r="I63" s="137"/>
      <c r="J63" s="137"/>
      <c r="K63" s="138"/>
      <c r="L63" s="139"/>
      <c r="M63" s="140"/>
      <c r="N63" s="154"/>
      <c r="O63" s="155"/>
      <c r="P63" s="155"/>
      <c r="Q63" s="155"/>
      <c r="R63" s="162"/>
      <c r="S63" s="163"/>
      <c r="T63" s="163"/>
      <c r="U63" s="163"/>
      <c r="V63" s="163"/>
      <c r="W63" s="161"/>
      <c r="X63" s="162"/>
      <c r="Y63" s="161"/>
      <c r="Z63" s="162"/>
      <c r="AA63" s="164"/>
      <c r="AB63" s="161"/>
      <c r="AC63" s="162"/>
      <c r="AD63" s="161"/>
      <c r="AE63" s="162"/>
      <c r="AF63" s="161"/>
      <c r="AG63" s="162"/>
      <c r="AH63" s="161"/>
      <c r="AI63" s="162"/>
      <c r="AJ63" s="163"/>
      <c r="AK63" s="162"/>
      <c r="AL63" s="161"/>
      <c r="AM63" s="162"/>
      <c r="AN63" s="161"/>
      <c r="AO63" s="162"/>
      <c r="AP63" s="161"/>
      <c r="AQ63" s="165"/>
      <c r="AR63" s="166"/>
      <c r="AS63" s="162">
        <v>2.16E-3</v>
      </c>
      <c r="AT63" s="161">
        <v>8.8412945450400002</v>
      </c>
      <c r="AU63" s="162"/>
      <c r="AV63" s="167"/>
      <c r="AW63" s="168"/>
      <c r="AX63" s="168"/>
      <c r="AY63" s="168"/>
      <c r="AZ63" s="162"/>
      <c r="BA63" s="161"/>
      <c r="BB63" s="169"/>
      <c r="BC63" s="170"/>
      <c r="BD63" s="153">
        <f t="shared" si="2"/>
        <v>17.914294545040001</v>
      </c>
      <c r="BE63" s="154">
        <f t="shared" si="0"/>
        <v>0</v>
      </c>
      <c r="BF63" s="155">
        <f t="shared" si="1"/>
        <v>8.3640000000000008</v>
      </c>
      <c r="BG63" s="149">
        <f t="shared" si="4"/>
        <v>0.70899999999999996</v>
      </c>
      <c r="BH63" s="154"/>
      <c r="BI63" s="155"/>
      <c r="BJ63" s="155"/>
      <c r="BK63" s="155"/>
      <c r="BL63" s="155"/>
      <c r="BM63" s="155"/>
      <c r="BN63" s="155"/>
      <c r="BO63" s="155"/>
      <c r="BP63" s="171"/>
      <c r="BQ63" s="155"/>
      <c r="BR63" s="155"/>
      <c r="BS63" s="167"/>
      <c r="BT63" s="154">
        <v>0.02</v>
      </c>
      <c r="BU63" s="155">
        <v>7.1660000000000004</v>
      </c>
      <c r="BV63" s="155">
        <v>2</v>
      </c>
      <c r="BW63" s="155">
        <v>0.48899999999999999</v>
      </c>
      <c r="BX63" s="159"/>
      <c r="BY63" s="155"/>
      <c r="BZ63" s="155">
        <v>6</v>
      </c>
      <c r="CA63" s="167">
        <v>0.70899999999999996</v>
      </c>
    </row>
    <row r="64" spans="1:79">
      <c r="A64" s="132"/>
      <c r="B64" s="160" t="s">
        <v>117</v>
      </c>
      <c r="C64" s="134"/>
      <c r="D64" s="135"/>
      <c r="E64" s="136"/>
      <c r="F64" s="137"/>
      <c r="G64" s="137"/>
      <c r="H64" s="137"/>
      <c r="I64" s="137"/>
      <c r="J64" s="137"/>
      <c r="K64" s="138"/>
      <c r="L64" s="139"/>
      <c r="M64" s="140"/>
      <c r="N64" s="154"/>
      <c r="O64" s="155"/>
      <c r="P64" s="155"/>
      <c r="Q64" s="155"/>
      <c r="R64" s="162">
        <v>2</v>
      </c>
      <c r="S64" s="163">
        <v>0.20818149999999999</v>
      </c>
      <c r="T64" s="163">
        <v>20</v>
      </c>
      <c r="U64" s="163">
        <v>1.4334784</v>
      </c>
      <c r="V64" s="163"/>
      <c r="W64" s="161"/>
      <c r="X64" s="162"/>
      <c r="Y64" s="161"/>
      <c r="Z64" s="162"/>
      <c r="AA64" s="164"/>
      <c r="AB64" s="161"/>
      <c r="AC64" s="162"/>
      <c r="AD64" s="161"/>
      <c r="AE64" s="162"/>
      <c r="AF64" s="161"/>
      <c r="AG64" s="162"/>
      <c r="AH64" s="161"/>
      <c r="AI64" s="162"/>
      <c r="AJ64" s="163"/>
      <c r="AK64" s="162"/>
      <c r="AL64" s="161"/>
      <c r="AM64" s="162"/>
      <c r="AN64" s="161"/>
      <c r="AO64" s="162"/>
      <c r="AP64" s="161"/>
      <c r="AQ64" s="165">
        <v>1</v>
      </c>
      <c r="AR64" s="166">
        <v>0.87956999999999996</v>
      </c>
      <c r="AS64" s="162"/>
      <c r="AT64" s="161"/>
      <c r="AU64" s="162"/>
      <c r="AV64" s="167"/>
      <c r="AW64" s="168"/>
      <c r="AX64" s="168"/>
      <c r="AY64" s="168"/>
      <c r="AZ64" s="162"/>
      <c r="BA64" s="161"/>
      <c r="BB64" s="169"/>
      <c r="BC64" s="170"/>
      <c r="BD64" s="153">
        <f t="shared" si="2"/>
        <v>41.221163561400004</v>
      </c>
      <c r="BE64" s="154">
        <f t="shared" si="0"/>
        <v>10.1819336614</v>
      </c>
      <c r="BF64" s="155">
        <f t="shared" si="1"/>
        <v>18.372</v>
      </c>
      <c r="BG64" s="149">
        <f t="shared" si="4"/>
        <v>10.146000000000001</v>
      </c>
      <c r="BH64" s="154"/>
      <c r="BI64" s="155"/>
      <c r="BJ64" s="155"/>
      <c r="BK64" s="155"/>
      <c r="BL64" s="155">
        <v>2.5000000000000001E-3</v>
      </c>
      <c r="BM64" s="155">
        <v>2.1089336614</v>
      </c>
      <c r="BN64" s="155"/>
      <c r="BO64" s="155"/>
      <c r="BP64" s="171"/>
      <c r="BQ64" s="155"/>
      <c r="BR64" s="155">
        <v>6</v>
      </c>
      <c r="BS64" s="167">
        <v>8.0730000000000004</v>
      </c>
      <c r="BT64" s="154">
        <v>1E-3</v>
      </c>
      <c r="BU64" s="155">
        <v>0.10100000000000001</v>
      </c>
      <c r="BV64" s="155">
        <v>4</v>
      </c>
      <c r="BW64" s="155">
        <v>0.84</v>
      </c>
      <c r="BX64" s="159">
        <v>3</v>
      </c>
      <c r="BY64" s="155">
        <v>7.2850000000000001</v>
      </c>
      <c r="BZ64" s="155">
        <v>55</v>
      </c>
      <c r="CA64" s="167">
        <v>10.146000000000001</v>
      </c>
    </row>
    <row r="65" spans="1:79">
      <c r="A65" s="132"/>
      <c r="B65" s="160" t="s">
        <v>118</v>
      </c>
      <c r="C65" s="134"/>
      <c r="D65" s="135"/>
      <c r="E65" s="136"/>
      <c r="F65" s="137"/>
      <c r="G65" s="137"/>
      <c r="H65" s="137"/>
      <c r="I65" s="137"/>
      <c r="J65" s="137"/>
      <c r="K65" s="138"/>
      <c r="L65" s="139"/>
      <c r="M65" s="140"/>
      <c r="N65" s="154"/>
      <c r="O65" s="155"/>
      <c r="P65" s="155"/>
      <c r="Q65" s="155"/>
      <c r="R65" s="162">
        <v>2</v>
      </c>
      <c r="S65" s="163">
        <v>0.20818149999999999</v>
      </c>
      <c r="T65" s="163"/>
      <c r="U65" s="163"/>
      <c r="V65" s="163">
        <v>3.0000000000000001E-3</v>
      </c>
      <c r="W65" s="161">
        <v>2.2410000000000001</v>
      </c>
      <c r="X65" s="162"/>
      <c r="Y65" s="161"/>
      <c r="Z65" s="162"/>
      <c r="AA65" s="164"/>
      <c r="AB65" s="161"/>
      <c r="AC65" s="162"/>
      <c r="AD65" s="161"/>
      <c r="AE65" s="162"/>
      <c r="AF65" s="161"/>
      <c r="AG65" s="162"/>
      <c r="AH65" s="161"/>
      <c r="AI65" s="162">
        <v>3</v>
      </c>
      <c r="AJ65" s="163">
        <v>2.430706614</v>
      </c>
      <c r="AK65" s="162"/>
      <c r="AL65" s="161"/>
      <c r="AM65" s="162"/>
      <c r="AN65" s="161"/>
      <c r="AO65" s="162"/>
      <c r="AP65" s="161"/>
      <c r="AQ65" s="165">
        <v>1</v>
      </c>
      <c r="AR65" s="166">
        <f>AQ65*0.0878094</f>
        <v>8.7809399999999996E-2</v>
      </c>
      <c r="AS65" s="162">
        <v>1E-3</v>
      </c>
      <c r="AT65" s="161">
        <v>3.2463637600000004</v>
      </c>
      <c r="AU65" s="162"/>
      <c r="AV65" s="167"/>
      <c r="AW65" s="168"/>
      <c r="AX65" s="168"/>
      <c r="AY65" s="168"/>
      <c r="AZ65" s="162">
        <v>1</v>
      </c>
      <c r="BA65" s="161">
        <v>15.587</v>
      </c>
      <c r="BB65" s="169"/>
      <c r="BC65" s="170">
        <v>0.45292033300000001</v>
      </c>
      <c r="BD65" s="153">
        <f t="shared" si="2"/>
        <v>38.661981607000001</v>
      </c>
      <c r="BE65" s="154">
        <f t="shared" si="0"/>
        <v>1.9219999999999999</v>
      </c>
      <c r="BF65" s="155">
        <f t="shared" si="1"/>
        <v>11.183</v>
      </c>
      <c r="BG65" s="149">
        <f t="shared" si="4"/>
        <v>1.3029999999999999</v>
      </c>
      <c r="BH65" s="154"/>
      <c r="BI65" s="155"/>
      <c r="BJ65" s="155"/>
      <c r="BK65" s="155"/>
      <c r="BL65" s="155"/>
      <c r="BM65" s="155"/>
      <c r="BN65" s="155"/>
      <c r="BO65" s="155"/>
      <c r="BP65" s="171"/>
      <c r="BQ65" s="155"/>
      <c r="BR65" s="155">
        <v>3</v>
      </c>
      <c r="BS65" s="167">
        <v>1.9219999999999999</v>
      </c>
      <c r="BT65" s="154">
        <v>1.7000000000000001E-2</v>
      </c>
      <c r="BU65" s="155">
        <v>4.3739999999999997</v>
      </c>
      <c r="BV65" s="155">
        <v>1</v>
      </c>
      <c r="BW65" s="155">
        <v>0.23599999999999999</v>
      </c>
      <c r="BX65" s="159">
        <v>2</v>
      </c>
      <c r="BY65" s="155">
        <v>5.27</v>
      </c>
      <c r="BZ65" s="155">
        <v>6</v>
      </c>
      <c r="CA65" s="167">
        <v>1.3029999999999999</v>
      </c>
    </row>
    <row r="66" spans="1:79">
      <c r="A66" s="132"/>
      <c r="B66" s="160" t="s">
        <v>119</v>
      </c>
      <c r="C66" s="134"/>
      <c r="D66" s="135"/>
      <c r="E66" s="136"/>
      <c r="F66" s="137"/>
      <c r="G66" s="137"/>
      <c r="H66" s="137"/>
      <c r="I66" s="137"/>
      <c r="J66" s="137"/>
      <c r="K66" s="138"/>
      <c r="L66" s="139"/>
      <c r="M66" s="140"/>
      <c r="N66" s="154">
        <f>0.06+0.022</f>
        <v>8.199999999999999E-2</v>
      </c>
      <c r="O66" s="155">
        <f>6.477+5.041</f>
        <v>11.518000000000001</v>
      </c>
      <c r="P66" s="155"/>
      <c r="Q66" s="155"/>
      <c r="R66" s="162"/>
      <c r="S66" s="163"/>
      <c r="T66" s="163"/>
      <c r="U66" s="163"/>
      <c r="V66" s="163">
        <v>3.0000000000000001E-3</v>
      </c>
      <c r="W66" s="161">
        <v>4.5250000000000004</v>
      </c>
      <c r="X66" s="162"/>
      <c r="Y66" s="161"/>
      <c r="Z66" s="162">
        <v>1.0799999999999999E-2</v>
      </c>
      <c r="AA66" s="164">
        <f t="shared" si="3"/>
        <v>1.5603912309600001</v>
      </c>
      <c r="AB66" s="161">
        <v>1.69398123096</v>
      </c>
      <c r="AC66" s="162">
        <v>9.3999999999999986E-3</v>
      </c>
      <c r="AD66" s="161">
        <v>11.408375799999998</v>
      </c>
      <c r="AE66" s="162"/>
      <c r="AF66" s="161"/>
      <c r="AG66" s="162"/>
      <c r="AH66" s="161"/>
      <c r="AI66" s="162"/>
      <c r="AJ66" s="163"/>
      <c r="AK66" s="162">
        <v>1E-3</v>
      </c>
      <c r="AL66" s="161">
        <v>3.3302999999999998</v>
      </c>
      <c r="AM66" s="162"/>
      <c r="AN66" s="161"/>
      <c r="AO66" s="162"/>
      <c r="AP66" s="161"/>
      <c r="AQ66" s="165">
        <v>12</v>
      </c>
      <c r="AR66" s="166">
        <v>11.561588208</v>
      </c>
      <c r="AS66" s="162"/>
      <c r="AT66" s="161"/>
      <c r="AU66" s="162"/>
      <c r="AV66" s="167"/>
      <c r="AW66" s="168"/>
      <c r="AX66" s="168"/>
      <c r="AY66" s="168"/>
      <c r="AZ66" s="162"/>
      <c r="BA66" s="161"/>
      <c r="BB66" s="169"/>
      <c r="BC66" s="170">
        <v>11.328191238500001</v>
      </c>
      <c r="BD66" s="153">
        <f t="shared" si="2"/>
        <v>116.44043647745998</v>
      </c>
      <c r="BE66" s="154">
        <f t="shared" si="0"/>
        <v>9.536999999999999</v>
      </c>
      <c r="BF66" s="155">
        <f t="shared" si="1"/>
        <v>38.688000000000002</v>
      </c>
      <c r="BG66" s="149">
        <f t="shared" si="4"/>
        <v>12.85</v>
      </c>
      <c r="BH66" s="154"/>
      <c r="BI66" s="155"/>
      <c r="BJ66" s="155"/>
      <c r="BK66" s="155"/>
      <c r="BL66" s="155"/>
      <c r="BM66" s="155"/>
      <c r="BN66" s="155">
        <v>2E-3</v>
      </c>
      <c r="BO66" s="155">
        <v>1.679</v>
      </c>
      <c r="BP66" s="171"/>
      <c r="BQ66" s="155"/>
      <c r="BR66" s="155">
        <v>8</v>
      </c>
      <c r="BS66" s="167">
        <v>7.8579999999999997</v>
      </c>
      <c r="BT66" s="154">
        <v>7.0999999999999994E-2</v>
      </c>
      <c r="BU66" s="155">
        <v>18.113</v>
      </c>
      <c r="BV66" s="155">
        <v>10</v>
      </c>
      <c r="BW66" s="155">
        <v>2.9340000000000002</v>
      </c>
      <c r="BX66" s="159">
        <v>2</v>
      </c>
      <c r="BY66" s="155">
        <v>4.7910000000000004</v>
      </c>
      <c r="BZ66" s="155">
        <v>54</v>
      </c>
      <c r="CA66" s="167">
        <v>12.85</v>
      </c>
    </row>
    <row r="67" spans="1:79">
      <c r="A67" s="132"/>
      <c r="B67" s="160" t="s">
        <v>120</v>
      </c>
      <c r="C67" s="134"/>
      <c r="D67" s="135"/>
      <c r="E67" s="136"/>
      <c r="F67" s="137"/>
      <c r="G67" s="137"/>
      <c r="H67" s="137"/>
      <c r="I67" s="137"/>
      <c r="J67" s="137"/>
      <c r="K67" s="138"/>
      <c r="L67" s="139"/>
      <c r="M67" s="140"/>
      <c r="N67" s="154">
        <v>1.7999999999999999E-2</v>
      </c>
      <c r="O67" s="155">
        <v>3.008</v>
      </c>
      <c r="P67" s="155"/>
      <c r="Q67" s="155"/>
      <c r="R67" s="162"/>
      <c r="S67" s="163"/>
      <c r="T67" s="163">
        <f>15+53</f>
        <v>68</v>
      </c>
      <c r="U67" s="163">
        <f>2.03+27.753</f>
        <v>29.783000000000001</v>
      </c>
      <c r="V67" s="163"/>
      <c r="W67" s="161"/>
      <c r="X67" s="162"/>
      <c r="Y67" s="161"/>
      <c r="Z67" s="162">
        <v>1.4999999999999999E-2</v>
      </c>
      <c r="AA67" s="164">
        <f t="shared" si="3"/>
        <v>2.3171977065</v>
      </c>
      <c r="AB67" s="161">
        <v>2.4507877064999999</v>
      </c>
      <c r="AC67" s="162"/>
      <c r="AD67" s="161"/>
      <c r="AE67" s="162"/>
      <c r="AF67" s="161"/>
      <c r="AG67" s="162"/>
      <c r="AH67" s="161"/>
      <c r="AI67" s="162"/>
      <c r="AJ67" s="163"/>
      <c r="AK67" s="162"/>
      <c r="AL67" s="161"/>
      <c r="AM67" s="162"/>
      <c r="AN67" s="161"/>
      <c r="AO67" s="162"/>
      <c r="AP67" s="161"/>
      <c r="AQ67" s="165">
        <v>2</v>
      </c>
      <c r="AR67" s="166">
        <v>2.8502999999999998</v>
      </c>
      <c r="AS67" s="162"/>
      <c r="AT67" s="161"/>
      <c r="AU67" s="162"/>
      <c r="AV67" s="167"/>
      <c r="AW67" s="168"/>
      <c r="AX67" s="168"/>
      <c r="AY67" s="168"/>
      <c r="AZ67" s="162"/>
      <c r="BA67" s="161"/>
      <c r="BB67" s="169"/>
      <c r="BC67" s="170">
        <v>1.6975858769999999</v>
      </c>
      <c r="BD67" s="153">
        <f t="shared" si="2"/>
        <v>77.59596761760001</v>
      </c>
      <c r="BE67" s="154">
        <f t="shared" si="0"/>
        <v>16.8712940341</v>
      </c>
      <c r="BF67" s="155">
        <f t="shared" si="1"/>
        <v>10.712000000000002</v>
      </c>
      <c r="BG67" s="149">
        <f t="shared" si="4"/>
        <v>10.223000000000001</v>
      </c>
      <c r="BH67" s="154"/>
      <c r="BI67" s="155"/>
      <c r="BJ67" s="155"/>
      <c r="BK67" s="155"/>
      <c r="BL67" s="155">
        <v>5.0000000000000001E-4</v>
      </c>
      <c r="BM67" s="155">
        <v>0.4342940341</v>
      </c>
      <c r="BN67" s="155"/>
      <c r="BO67" s="155"/>
      <c r="BP67" s="171"/>
      <c r="BQ67" s="155"/>
      <c r="BR67" s="155">
        <v>18</v>
      </c>
      <c r="BS67" s="167">
        <v>16.437000000000001</v>
      </c>
      <c r="BT67" s="154"/>
      <c r="BU67" s="155"/>
      <c r="BV67" s="155">
        <v>2</v>
      </c>
      <c r="BW67" s="155">
        <v>0.48899999999999999</v>
      </c>
      <c r="BX67" s="159"/>
      <c r="BY67" s="155"/>
      <c r="BZ67" s="155">
        <v>58</v>
      </c>
      <c r="CA67" s="167">
        <v>10.223000000000001</v>
      </c>
    </row>
    <row r="68" spans="1:79">
      <c r="A68" s="132"/>
      <c r="B68" s="160" t="s">
        <v>121</v>
      </c>
      <c r="C68" s="134"/>
      <c r="D68" s="135"/>
      <c r="E68" s="136"/>
      <c r="F68" s="137"/>
      <c r="G68" s="137"/>
      <c r="H68" s="137"/>
      <c r="I68" s="137"/>
      <c r="J68" s="137"/>
      <c r="K68" s="138"/>
      <c r="L68" s="139"/>
      <c r="M68" s="140"/>
      <c r="N68" s="154"/>
      <c r="O68" s="155"/>
      <c r="P68" s="155"/>
      <c r="Q68" s="155"/>
      <c r="R68" s="162"/>
      <c r="S68" s="163"/>
      <c r="T68" s="163"/>
      <c r="U68" s="163"/>
      <c r="V68" s="163"/>
      <c r="W68" s="161"/>
      <c r="X68" s="162"/>
      <c r="Y68" s="161"/>
      <c r="Z68" s="162"/>
      <c r="AA68" s="164"/>
      <c r="AB68" s="161"/>
      <c r="AC68" s="162"/>
      <c r="AD68" s="161"/>
      <c r="AE68" s="162"/>
      <c r="AF68" s="161"/>
      <c r="AG68" s="162"/>
      <c r="AH68" s="161"/>
      <c r="AI68" s="162"/>
      <c r="AJ68" s="163"/>
      <c r="AK68" s="162"/>
      <c r="AL68" s="161"/>
      <c r="AM68" s="162"/>
      <c r="AN68" s="161"/>
      <c r="AO68" s="162"/>
      <c r="AP68" s="161"/>
      <c r="AQ68" s="165"/>
      <c r="AR68" s="166"/>
      <c r="AS68" s="162"/>
      <c r="AT68" s="161"/>
      <c r="AU68" s="162"/>
      <c r="AV68" s="167"/>
      <c r="AW68" s="168"/>
      <c r="AX68" s="168"/>
      <c r="AY68" s="168"/>
      <c r="AZ68" s="162"/>
      <c r="BA68" s="161"/>
      <c r="BB68" s="169"/>
      <c r="BC68" s="170"/>
      <c r="BD68" s="153">
        <f t="shared" si="2"/>
        <v>0</v>
      </c>
      <c r="BE68" s="154">
        <f t="shared" si="0"/>
        <v>0</v>
      </c>
      <c r="BF68" s="155">
        <f t="shared" si="1"/>
        <v>0</v>
      </c>
      <c r="BG68" s="149">
        <f t="shared" si="4"/>
        <v>0</v>
      </c>
      <c r="BH68" s="154"/>
      <c r="BI68" s="155"/>
      <c r="BJ68" s="155"/>
      <c r="BK68" s="155"/>
      <c r="BL68" s="155"/>
      <c r="BM68" s="155"/>
      <c r="BN68" s="155"/>
      <c r="BO68" s="155"/>
      <c r="BP68" s="171"/>
      <c r="BQ68" s="155"/>
      <c r="BR68" s="155"/>
      <c r="BS68" s="167"/>
      <c r="BT68" s="154"/>
      <c r="BU68" s="155"/>
      <c r="BV68" s="155"/>
      <c r="BW68" s="155"/>
      <c r="BX68" s="159"/>
      <c r="BY68" s="155"/>
      <c r="BZ68" s="155"/>
      <c r="CA68" s="167"/>
    </row>
    <row r="69" spans="1:79">
      <c r="A69" s="132"/>
      <c r="B69" s="160" t="s">
        <v>122</v>
      </c>
      <c r="C69" s="134"/>
      <c r="D69" s="135"/>
      <c r="E69" s="136"/>
      <c r="F69" s="137"/>
      <c r="G69" s="137"/>
      <c r="H69" s="137"/>
      <c r="I69" s="137"/>
      <c r="J69" s="137"/>
      <c r="K69" s="138"/>
      <c r="L69" s="139"/>
      <c r="M69" s="140"/>
      <c r="N69" s="154"/>
      <c r="O69" s="155"/>
      <c r="P69" s="155"/>
      <c r="Q69" s="155"/>
      <c r="R69" s="162"/>
      <c r="S69" s="163"/>
      <c r="T69" s="163"/>
      <c r="U69" s="163"/>
      <c r="V69" s="163"/>
      <c r="W69" s="161"/>
      <c r="X69" s="162"/>
      <c r="Y69" s="161"/>
      <c r="Z69" s="162"/>
      <c r="AA69" s="164"/>
      <c r="AB69" s="161"/>
      <c r="AC69" s="162"/>
      <c r="AD69" s="161"/>
      <c r="AE69" s="162">
        <v>6.7000000000000004E-2</v>
      </c>
      <c r="AF69" s="161">
        <v>12.91785</v>
      </c>
      <c r="AG69" s="162"/>
      <c r="AH69" s="161"/>
      <c r="AI69" s="162"/>
      <c r="AJ69" s="163"/>
      <c r="AK69" s="162"/>
      <c r="AL69" s="161"/>
      <c r="AM69" s="162"/>
      <c r="AN69" s="161"/>
      <c r="AO69" s="162"/>
      <c r="AP69" s="161"/>
      <c r="AQ69" s="165">
        <v>6</v>
      </c>
      <c r="AR69" s="166">
        <v>5.4329111999999995</v>
      </c>
      <c r="AS69" s="162"/>
      <c r="AT69" s="161"/>
      <c r="AU69" s="162"/>
      <c r="AV69" s="167"/>
      <c r="AW69" s="168"/>
      <c r="AX69" s="168"/>
      <c r="AY69" s="168"/>
      <c r="AZ69" s="162"/>
      <c r="BA69" s="161"/>
      <c r="BB69" s="169"/>
      <c r="BC69" s="170">
        <v>6.4151111598000004</v>
      </c>
      <c r="BD69" s="153">
        <f t="shared" si="2"/>
        <v>95.247145626900007</v>
      </c>
      <c r="BE69" s="154">
        <f t="shared" si="0"/>
        <v>45.412273267099998</v>
      </c>
      <c r="BF69" s="155">
        <f t="shared" si="1"/>
        <v>13.003</v>
      </c>
      <c r="BG69" s="149">
        <f t="shared" si="4"/>
        <v>12.066000000000001</v>
      </c>
      <c r="BH69" s="154">
        <v>1.4499999999999999E-3</v>
      </c>
      <c r="BI69" s="155">
        <v>2.5686908669999999</v>
      </c>
      <c r="BJ69" s="155">
        <v>3.0000000000000001E-3</v>
      </c>
      <c r="BK69" s="155">
        <v>2.0985824001000002</v>
      </c>
      <c r="BL69" s="155"/>
      <c r="BM69" s="155"/>
      <c r="BN69" s="155">
        <v>8.9999999999999993E-3</v>
      </c>
      <c r="BO69" s="155">
        <v>8.7840000000000007</v>
      </c>
      <c r="BP69" s="171"/>
      <c r="BQ69" s="155"/>
      <c r="BR69" s="155">
        <v>23</v>
      </c>
      <c r="BS69" s="167">
        <v>31.960999999999999</v>
      </c>
      <c r="BT69" s="154">
        <v>5.0000000000000001E-3</v>
      </c>
      <c r="BU69" s="155">
        <v>0.39800000000000002</v>
      </c>
      <c r="BV69" s="155">
        <v>2</v>
      </c>
      <c r="BW69" s="155">
        <v>0.53900000000000003</v>
      </c>
      <c r="BX69" s="159"/>
      <c r="BY69" s="155"/>
      <c r="BZ69" s="155">
        <v>96</v>
      </c>
      <c r="CA69" s="167">
        <v>12.066000000000001</v>
      </c>
    </row>
    <row r="70" spans="1:79">
      <c r="A70" s="132"/>
      <c r="B70" s="160" t="s">
        <v>123</v>
      </c>
      <c r="C70" s="134"/>
      <c r="D70" s="135"/>
      <c r="E70" s="136"/>
      <c r="F70" s="137"/>
      <c r="G70" s="137"/>
      <c r="H70" s="137"/>
      <c r="I70" s="137"/>
      <c r="J70" s="137"/>
      <c r="K70" s="138"/>
      <c r="L70" s="139"/>
      <c r="M70" s="140"/>
      <c r="N70" s="154"/>
      <c r="O70" s="155"/>
      <c r="P70" s="155"/>
      <c r="Q70" s="155"/>
      <c r="R70" s="162"/>
      <c r="S70" s="163"/>
      <c r="T70" s="163"/>
      <c r="U70" s="163"/>
      <c r="V70" s="163"/>
      <c r="W70" s="161"/>
      <c r="X70" s="162"/>
      <c r="Y70" s="161"/>
      <c r="Z70" s="162">
        <v>8.4199999999999997E-2</v>
      </c>
      <c r="AA70" s="164">
        <f t="shared" si="3"/>
        <v>43.832448080799999</v>
      </c>
      <c r="AB70" s="161">
        <v>43.966038080799997</v>
      </c>
      <c r="AC70" s="162"/>
      <c r="AD70" s="161"/>
      <c r="AE70" s="162">
        <v>1.18E-2</v>
      </c>
      <c r="AF70" s="161">
        <v>5.9972899999999996</v>
      </c>
      <c r="AG70" s="162">
        <v>6.7000000000000002E-3</v>
      </c>
      <c r="AH70" s="161">
        <v>4.6608554800000004</v>
      </c>
      <c r="AI70" s="162"/>
      <c r="AJ70" s="163"/>
      <c r="AK70" s="162"/>
      <c r="AL70" s="161"/>
      <c r="AM70" s="162"/>
      <c r="AN70" s="161"/>
      <c r="AO70" s="162"/>
      <c r="AP70" s="161"/>
      <c r="AQ70" s="165"/>
      <c r="AR70" s="166"/>
      <c r="AS70" s="162"/>
      <c r="AT70" s="161"/>
      <c r="AU70" s="162"/>
      <c r="AV70" s="167"/>
      <c r="AW70" s="168"/>
      <c r="AX70" s="168"/>
      <c r="AY70" s="168"/>
      <c r="AZ70" s="162"/>
      <c r="BA70" s="161"/>
      <c r="BB70" s="169"/>
      <c r="BC70" s="170">
        <v>1.1557072129999999</v>
      </c>
      <c r="BD70" s="153">
        <f t="shared" si="2"/>
        <v>98.433510773800009</v>
      </c>
      <c r="BE70" s="154">
        <f t="shared" si="0"/>
        <v>37.711619999999996</v>
      </c>
      <c r="BF70" s="155">
        <f t="shared" si="1"/>
        <v>2.593</v>
      </c>
      <c r="BG70" s="149">
        <f t="shared" si="4"/>
        <v>2.3490000000000002</v>
      </c>
      <c r="BH70" s="154">
        <v>1E-3</v>
      </c>
      <c r="BI70" s="155">
        <v>0.65861999999999998</v>
      </c>
      <c r="BJ70" s="155"/>
      <c r="BK70" s="155"/>
      <c r="BL70" s="155"/>
      <c r="BM70" s="155"/>
      <c r="BN70" s="155"/>
      <c r="BO70" s="155"/>
      <c r="BP70" s="171"/>
      <c r="BQ70" s="155"/>
      <c r="BR70" s="155">
        <v>21</v>
      </c>
      <c r="BS70" s="167">
        <v>37.052999999999997</v>
      </c>
      <c r="BT70" s="154"/>
      <c r="BU70" s="155"/>
      <c r="BV70" s="155">
        <v>1</v>
      </c>
      <c r="BW70" s="155">
        <v>0.24399999999999999</v>
      </c>
      <c r="BX70" s="159"/>
      <c r="BY70" s="155"/>
      <c r="BZ70" s="155">
        <v>21</v>
      </c>
      <c r="CA70" s="167">
        <v>2.3490000000000002</v>
      </c>
    </row>
    <row r="71" spans="1:79">
      <c r="A71" s="132"/>
      <c r="B71" s="160" t="s">
        <v>124</v>
      </c>
      <c r="C71" s="134"/>
      <c r="D71" s="135"/>
      <c r="E71" s="136"/>
      <c r="F71" s="137"/>
      <c r="G71" s="137"/>
      <c r="H71" s="137"/>
      <c r="I71" s="137"/>
      <c r="J71" s="137"/>
      <c r="K71" s="138"/>
      <c r="L71" s="139"/>
      <c r="M71" s="140"/>
      <c r="N71" s="154"/>
      <c r="O71" s="155"/>
      <c r="P71" s="155">
        <v>7.0000000000000007E-2</v>
      </c>
      <c r="Q71" s="155">
        <v>71.63015</v>
      </c>
      <c r="R71" s="162">
        <v>4</v>
      </c>
      <c r="S71" s="163">
        <v>0.48686378000000002</v>
      </c>
      <c r="T71" s="163"/>
      <c r="U71" s="163"/>
      <c r="V71" s="163"/>
      <c r="W71" s="161"/>
      <c r="X71" s="162"/>
      <c r="Y71" s="161"/>
      <c r="Z71" s="162">
        <v>1.2E-2</v>
      </c>
      <c r="AA71" s="164">
        <f t="shared" si="3"/>
        <v>1.3110385920000001</v>
      </c>
      <c r="AB71" s="161">
        <v>1.4446285919999999</v>
      </c>
      <c r="AC71" s="162">
        <v>3.04E-2</v>
      </c>
      <c r="AD71" s="161">
        <v>5.5566977419199999</v>
      </c>
      <c r="AE71" s="162"/>
      <c r="AF71" s="161"/>
      <c r="AG71" s="162"/>
      <c r="AH71" s="161"/>
      <c r="AI71" s="162"/>
      <c r="AJ71" s="163"/>
      <c r="AK71" s="162"/>
      <c r="AL71" s="161"/>
      <c r="AM71" s="162"/>
      <c r="AN71" s="161"/>
      <c r="AO71" s="162"/>
      <c r="AP71" s="161"/>
      <c r="AQ71" s="165">
        <v>12</v>
      </c>
      <c r="AR71" s="166">
        <v>11.937245395</v>
      </c>
      <c r="AS71" s="162"/>
      <c r="AT71" s="161"/>
      <c r="AU71" s="162"/>
      <c r="AV71" s="167"/>
      <c r="AW71" s="168"/>
      <c r="AX71" s="168"/>
      <c r="AY71" s="168"/>
      <c r="AZ71" s="162"/>
      <c r="BA71" s="161"/>
      <c r="BB71" s="169"/>
      <c r="BC71" s="170">
        <v>15.232442580200001</v>
      </c>
      <c r="BD71" s="153">
        <f t="shared" si="2"/>
        <v>495.16146752172006</v>
      </c>
      <c r="BE71" s="154">
        <f t="shared" ref="BE71:BE134" si="5">BI71+BK71+BM71+BO71+BQ71+BS71</f>
        <v>105.3454394326</v>
      </c>
      <c r="BF71" s="155">
        <f t="shared" si="1"/>
        <v>257.827</v>
      </c>
      <c r="BG71" s="149">
        <f t="shared" si="4"/>
        <v>25.701000000000001</v>
      </c>
      <c r="BH71" s="154">
        <v>6.0000000000000001E-3</v>
      </c>
      <c r="BI71" s="155">
        <v>4.9680535142500002</v>
      </c>
      <c r="BJ71" s="155">
        <v>9.4999999999999998E-3</v>
      </c>
      <c r="BK71" s="155">
        <v>8.8637401778500013</v>
      </c>
      <c r="BL71" s="155">
        <v>4.7000000000000002E-3</v>
      </c>
      <c r="BM71" s="155">
        <v>4.5566457405000005</v>
      </c>
      <c r="BN71" s="155">
        <v>8.0000000000000002E-3</v>
      </c>
      <c r="BO71" s="155">
        <v>9.218</v>
      </c>
      <c r="BP71" s="171"/>
      <c r="BQ71" s="155"/>
      <c r="BR71" s="155">
        <v>55</v>
      </c>
      <c r="BS71" s="167">
        <v>77.739000000000004</v>
      </c>
      <c r="BT71" s="154">
        <v>0.19600000000000001</v>
      </c>
      <c r="BU71" s="155">
        <v>215.65700000000001</v>
      </c>
      <c r="BV71" s="155">
        <v>5</v>
      </c>
      <c r="BW71" s="155">
        <v>1.8939999999999999</v>
      </c>
      <c r="BX71" s="159">
        <v>5</v>
      </c>
      <c r="BY71" s="155">
        <v>14.574999999999999</v>
      </c>
      <c r="BZ71" s="155">
        <v>185</v>
      </c>
      <c r="CA71" s="167">
        <v>25.701000000000001</v>
      </c>
    </row>
    <row r="72" spans="1:79">
      <c r="A72" s="132"/>
      <c r="B72" s="160" t="s">
        <v>125</v>
      </c>
      <c r="C72" s="134"/>
      <c r="D72" s="135"/>
      <c r="E72" s="136"/>
      <c r="F72" s="137"/>
      <c r="G72" s="137"/>
      <c r="H72" s="137"/>
      <c r="I72" s="137"/>
      <c r="J72" s="137"/>
      <c r="K72" s="138"/>
      <c r="L72" s="139"/>
      <c r="M72" s="140"/>
      <c r="N72" s="154">
        <v>8.9999999999999993E-3</v>
      </c>
      <c r="O72" s="155">
        <v>2.4279999999999999</v>
      </c>
      <c r="P72" s="155"/>
      <c r="Q72" s="155"/>
      <c r="R72" s="162"/>
      <c r="S72" s="163"/>
      <c r="T72" s="163"/>
      <c r="U72" s="163"/>
      <c r="V72" s="163"/>
      <c r="W72" s="161"/>
      <c r="X72" s="162"/>
      <c r="Y72" s="161"/>
      <c r="Z72" s="162"/>
      <c r="AA72" s="164"/>
      <c r="AB72" s="161"/>
      <c r="AC72" s="162"/>
      <c r="AD72" s="161"/>
      <c r="AE72" s="162"/>
      <c r="AF72" s="161"/>
      <c r="AG72" s="162"/>
      <c r="AH72" s="161"/>
      <c r="AI72" s="162"/>
      <c r="AJ72" s="163"/>
      <c r="AK72" s="162"/>
      <c r="AL72" s="161"/>
      <c r="AM72" s="162"/>
      <c r="AN72" s="161"/>
      <c r="AO72" s="162"/>
      <c r="AP72" s="161"/>
      <c r="AQ72" s="165">
        <v>4</v>
      </c>
      <c r="AR72" s="166">
        <v>1.1418471920000002</v>
      </c>
      <c r="AS72" s="162"/>
      <c r="AT72" s="161"/>
      <c r="AU72" s="162"/>
      <c r="AV72" s="167"/>
      <c r="AW72" s="168"/>
      <c r="AX72" s="168"/>
      <c r="AY72" s="168"/>
      <c r="AZ72" s="162"/>
      <c r="BA72" s="161"/>
      <c r="BB72" s="169"/>
      <c r="BC72" s="170">
        <v>4.4178200150000002</v>
      </c>
      <c r="BD72" s="153">
        <f t="shared" si="2"/>
        <v>57.096921735100004</v>
      </c>
      <c r="BE72" s="154">
        <f t="shared" si="5"/>
        <v>26.4852545281</v>
      </c>
      <c r="BF72" s="155">
        <f t="shared" ref="BF72:BF135" si="6">BU72+BW72+BY72+CA72</f>
        <v>13.834</v>
      </c>
      <c r="BG72" s="149">
        <f t="shared" si="4"/>
        <v>8.7899999999999991</v>
      </c>
      <c r="BH72" s="154"/>
      <c r="BI72" s="155"/>
      <c r="BJ72" s="155"/>
      <c r="BK72" s="155"/>
      <c r="BL72" s="155">
        <v>3.5000000000000001E-3</v>
      </c>
      <c r="BM72" s="155">
        <v>3.1992545281</v>
      </c>
      <c r="BN72" s="155">
        <v>2E-3</v>
      </c>
      <c r="BO72" s="155">
        <v>0.77600000000000002</v>
      </c>
      <c r="BP72" s="171"/>
      <c r="BQ72" s="155"/>
      <c r="BR72" s="155">
        <v>16</v>
      </c>
      <c r="BS72" s="167">
        <v>22.51</v>
      </c>
      <c r="BT72" s="154"/>
      <c r="BU72" s="155"/>
      <c r="BV72" s="155">
        <v>1</v>
      </c>
      <c r="BW72" s="155">
        <v>0.23599999999999999</v>
      </c>
      <c r="BX72" s="159">
        <v>2</v>
      </c>
      <c r="BY72" s="155">
        <v>4.8079999999999998</v>
      </c>
      <c r="BZ72" s="155">
        <v>66</v>
      </c>
      <c r="CA72" s="167">
        <v>8.7899999999999991</v>
      </c>
    </row>
    <row r="73" spans="1:79">
      <c r="A73" s="132"/>
      <c r="B73" s="160" t="s">
        <v>126</v>
      </c>
      <c r="C73" s="134"/>
      <c r="D73" s="135"/>
      <c r="E73" s="136"/>
      <c r="F73" s="137"/>
      <c r="G73" s="137"/>
      <c r="H73" s="137"/>
      <c r="I73" s="137"/>
      <c r="J73" s="137"/>
      <c r="K73" s="138"/>
      <c r="L73" s="139"/>
      <c r="M73" s="140"/>
      <c r="N73" s="154"/>
      <c r="O73" s="155"/>
      <c r="P73" s="155"/>
      <c r="Q73" s="155"/>
      <c r="R73" s="162"/>
      <c r="S73" s="163"/>
      <c r="T73" s="163"/>
      <c r="U73" s="163"/>
      <c r="V73" s="163"/>
      <c r="W73" s="161"/>
      <c r="X73" s="162">
        <v>0.81230000000000002</v>
      </c>
      <c r="Y73" s="161">
        <v>182.76750000000001</v>
      </c>
      <c r="Z73" s="162"/>
      <c r="AA73" s="164"/>
      <c r="AB73" s="161"/>
      <c r="AC73" s="162"/>
      <c r="AD73" s="161"/>
      <c r="AE73" s="162"/>
      <c r="AF73" s="161"/>
      <c r="AG73" s="162"/>
      <c r="AH73" s="161"/>
      <c r="AI73" s="162"/>
      <c r="AJ73" s="163"/>
      <c r="AK73" s="162"/>
      <c r="AL73" s="161"/>
      <c r="AM73" s="162">
        <v>1</v>
      </c>
      <c r="AN73" s="161">
        <v>1.5109999999999999</v>
      </c>
      <c r="AO73" s="162"/>
      <c r="AP73" s="161"/>
      <c r="AQ73" s="165">
        <v>1</v>
      </c>
      <c r="AR73" s="166">
        <v>0.75645560000000001</v>
      </c>
      <c r="AS73" s="162"/>
      <c r="AT73" s="161"/>
      <c r="AU73" s="162"/>
      <c r="AV73" s="167"/>
      <c r="AW73" s="168"/>
      <c r="AX73" s="168"/>
      <c r="AY73" s="168"/>
      <c r="AZ73" s="162"/>
      <c r="BA73" s="161"/>
      <c r="BB73" s="169"/>
      <c r="BC73" s="170">
        <v>17.494412947000001</v>
      </c>
      <c r="BD73" s="153">
        <f t="shared" ref="BD73:BD136" si="7">O73+Q73++S73+U73+W73+Y73+AB73+AD73+AF73+AH73+AJ73+AL73+AN73+AP73+AR73+AT73+AU73+AV73+AW73+AY73+BA73+BB73+BC73+BE73+BF73+BG73</f>
        <v>252.47714081535003</v>
      </c>
      <c r="BE73" s="154">
        <f t="shared" si="5"/>
        <v>29.459772268350001</v>
      </c>
      <c r="BF73" s="155">
        <f t="shared" si="6"/>
        <v>15.929000000000002</v>
      </c>
      <c r="BG73" s="149">
        <f t="shared" si="4"/>
        <v>4.5590000000000002</v>
      </c>
      <c r="BH73" s="154">
        <v>2E-3</v>
      </c>
      <c r="BI73" s="155">
        <v>1.4546101493000001</v>
      </c>
      <c r="BJ73" s="155">
        <v>1.5E-3</v>
      </c>
      <c r="BK73" s="155">
        <v>2.2747845450000002</v>
      </c>
      <c r="BL73" s="155">
        <v>1.5E-3</v>
      </c>
      <c r="BM73" s="155">
        <v>1.1553775740500001</v>
      </c>
      <c r="BN73" s="155">
        <v>3.0000000000000001E-3</v>
      </c>
      <c r="BO73" s="155">
        <v>2.3969999999999998</v>
      </c>
      <c r="BP73" s="171"/>
      <c r="BQ73" s="155"/>
      <c r="BR73" s="155">
        <v>19</v>
      </c>
      <c r="BS73" s="167">
        <v>22.178000000000001</v>
      </c>
      <c r="BT73" s="154"/>
      <c r="BU73" s="155"/>
      <c r="BV73" s="155">
        <v>1</v>
      </c>
      <c r="BW73" s="155">
        <v>0.23599999999999999</v>
      </c>
      <c r="BX73" s="159">
        <v>4</v>
      </c>
      <c r="BY73" s="155">
        <v>11.134</v>
      </c>
      <c r="BZ73" s="155">
        <v>26</v>
      </c>
      <c r="CA73" s="167">
        <v>4.5590000000000002</v>
      </c>
    </row>
    <row r="74" spans="1:79">
      <c r="A74" s="132"/>
      <c r="B74" s="160" t="s">
        <v>127</v>
      </c>
      <c r="C74" s="134"/>
      <c r="D74" s="135"/>
      <c r="E74" s="136"/>
      <c r="F74" s="137"/>
      <c r="G74" s="137"/>
      <c r="H74" s="137"/>
      <c r="I74" s="137"/>
      <c r="J74" s="137"/>
      <c r="K74" s="138"/>
      <c r="L74" s="139"/>
      <c r="M74" s="140"/>
      <c r="N74" s="154"/>
      <c r="O74" s="155"/>
      <c r="P74" s="155"/>
      <c r="Q74" s="155"/>
      <c r="R74" s="162"/>
      <c r="S74" s="163"/>
      <c r="T74" s="163"/>
      <c r="U74" s="163"/>
      <c r="V74" s="163"/>
      <c r="W74" s="161"/>
      <c r="X74" s="162"/>
      <c r="Y74" s="161"/>
      <c r="Z74" s="162">
        <v>1.4E-2</v>
      </c>
      <c r="AA74" s="164">
        <f t="shared" ref="AA74:AA136" si="8">AB74-0.13359</f>
        <v>2.3479984204000002</v>
      </c>
      <c r="AB74" s="161">
        <v>2.4815884204000001</v>
      </c>
      <c r="AC74" s="162"/>
      <c r="AD74" s="161"/>
      <c r="AE74" s="162"/>
      <c r="AF74" s="161"/>
      <c r="AG74" s="162"/>
      <c r="AH74" s="161"/>
      <c r="AI74" s="162"/>
      <c r="AJ74" s="163"/>
      <c r="AK74" s="162"/>
      <c r="AL74" s="161"/>
      <c r="AM74" s="162">
        <v>3</v>
      </c>
      <c r="AN74" s="161">
        <v>12.721815973</v>
      </c>
      <c r="AO74" s="162"/>
      <c r="AP74" s="161"/>
      <c r="AQ74" s="165">
        <v>8</v>
      </c>
      <c r="AR74" s="166">
        <v>5.1829501279999999</v>
      </c>
      <c r="AS74" s="162">
        <v>4.4999999999999997E-3</v>
      </c>
      <c r="AT74" s="161">
        <v>14.60863692</v>
      </c>
      <c r="AU74" s="162"/>
      <c r="AV74" s="167"/>
      <c r="AW74" s="168"/>
      <c r="AX74" s="168"/>
      <c r="AY74" s="168"/>
      <c r="AZ74" s="162"/>
      <c r="BA74" s="161"/>
      <c r="BB74" s="169"/>
      <c r="BC74" s="170">
        <v>4.4663155969999995</v>
      </c>
      <c r="BD74" s="153">
        <f t="shared" si="7"/>
        <v>128.6446546679</v>
      </c>
      <c r="BE74" s="154">
        <f t="shared" si="5"/>
        <v>47.297347629499995</v>
      </c>
      <c r="BF74" s="155">
        <f t="shared" si="6"/>
        <v>29.186</v>
      </c>
      <c r="BG74" s="149">
        <f t="shared" ref="BG74:BG137" si="9">CA74</f>
        <v>12.7</v>
      </c>
      <c r="BH74" s="154"/>
      <c r="BI74" s="155"/>
      <c r="BJ74" s="155">
        <v>5.0000000000000001E-3</v>
      </c>
      <c r="BK74" s="155">
        <v>4.8573476295000004</v>
      </c>
      <c r="BL74" s="155"/>
      <c r="BM74" s="155"/>
      <c r="BN74" s="155">
        <v>1.0999999999999999E-2</v>
      </c>
      <c r="BO74" s="155">
        <v>10.782999999999999</v>
      </c>
      <c r="BP74" s="171"/>
      <c r="BQ74" s="155"/>
      <c r="BR74" s="155">
        <v>25</v>
      </c>
      <c r="BS74" s="167">
        <v>31.657</v>
      </c>
      <c r="BT74" s="154"/>
      <c r="BU74" s="155"/>
      <c r="BV74" s="155">
        <v>3</v>
      </c>
      <c r="BW74" s="155">
        <v>0.95799999999999996</v>
      </c>
      <c r="BX74" s="159">
        <v>5</v>
      </c>
      <c r="BY74" s="155">
        <v>15.528</v>
      </c>
      <c r="BZ74" s="155">
        <v>99</v>
      </c>
      <c r="CA74" s="167">
        <v>12.7</v>
      </c>
    </row>
    <row r="75" spans="1:79">
      <c r="A75" s="132"/>
      <c r="B75" s="173" t="s">
        <v>128</v>
      </c>
      <c r="C75" s="134"/>
      <c r="D75" s="135"/>
      <c r="E75" s="136"/>
      <c r="F75" s="137"/>
      <c r="G75" s="137"/>
      <c r="H75" s="137"/>
      <c r="I75" s="137"/>
      <c r="J75" s="137"/>
      <c r="K75" s="138"/>
      <c r="L75" s="139"/>
      <c r="M75" s="140"/>
      <c r="N75" s="154"/>
      <c r="O75" s="155"/>
      <c r="P75" s="155"/>
      <c r="Q75" s="155"/>
      <c r="R75" s="162"/>
      <c r="S75" s="163"/>
      <c r="T75" s="163"/>
      <c r="U75" s="163"/>
      <c r="V75" s="163"/>
      <c r="W75" s="161"/>
      <c r="X75" s="162"/>
      <c r="Y75" s="161"/>
      <c r="Z75" s="162"/>
      <c r="AA75" s="164"/>
      <c r="AB75" s="161"/>
      <c r="AC75" s="162"/>
      <c r="AD75" s="161"/>
      <c r="AE75" s="162"/>
      <c r="AF75" s="161"/>
      <c r="AG75" s="162"/>
      <c r="AH75" s="161"/>
      <c r="AI75" s="162"/>
      <c r="AJ75" s="163"/>
      <c r="AK75" s="162"/>
      <c r="AL75" s="161"/>
      <c r="AM75" s="162"/>
      <c r="AN75" s="161"/>
      <c r="AO75" s="162"/>
      <c r="AP75" s="161"/>
      <c r="AQ75" s="165"/>
      <c r="AR75" s="166"/>
      <c r="AS75" s="162"/>
      <c r="AT75" s="161"/>
      <c r="AU75" s="162"/>
      <c r="AV75" s="167"/>
      <c r="AW75" s="168"/>
      <c r="AX75" s="168"/>
      <c r="AY75" s="168"/>
      <c r="AZ75" s="162"/>
      <c r="BA75" s="161"/>
      <c r="BB75" s="169"/>
      <c r="BC75" s="170"/>
      <c r="BD75" s="153">
        <f t="shared" si="7"/>
        <v>20.086000000000002</v>
      </c>
      <c r="BE75" s="154">
        <f t="shared" si="5"/>
        <v>9.5359999999999996</v>
      </c>
      <c r="BF75" s="155">
        <f t="shared" si="6"/>
        <v>6.6829999999999998</v>
      </c>
      <c r="BG75" s="149">
        <f t="shared" si="9"/>
        <v>3.867</v>
      </c>
      <c r="BH75" s="154"/>
      <c r="BI75" s="155"/>
      <c r="BJ75" s="155"/>
      <c r="BK75" s="155"/>
      <c r="BL75" s="155"/>
      <c r="BM75" s="155"/>
      <c r="BN75" s="155"/>
      <c r="BO75" s="155"/>
      <c r="BP75" s="171"/>
      <c r="BQ75" s="155"/>
      <c r="BR75" s="155">
        <v>9</v>
      </c>
      <c r="BS75" s="167">
        <v>9.5359999999999996</v>
      </c>
      <c r="BT75" s="154"/>
      <c r="BU75" s="155"/>
      <c r="BV75" s="155">
        <v>1</v>
      </c>
      <c r="BW75" s="155">
        <v>0.23599999999999999</v>
      </c>
      <c r="BX75" s="159">
        <v>1</v>
      </c>
      <c r="BY75" s="155">
        <v>2.58</v>
      </c>
      <c r="BZ75" s="155">
        <v>15</v>
      </c>
      <c r="CA75" s="167">
        <v>3.867</v>
      </c>
    </row>
    <row r="76" spans="1:79">
      <c r="A76" s="132"/>
      <c r="B76" s="160" t="s">
        <v>129</v>
      </c>
      <c r="C76" s="134"/>
      <c r="D76" s="135"/>
      <c r="E76" s="136"/>
      <c r="F76" s="137"/>
      <c r="G76" s="137"/>
      <c r="H76" s="137"/>
      <c r="I76" s="137"/>
      <c r="J76" s="137"/>
      <c r="K76" s="138"/>
      <c r="L76" s="139"/>
      <c r="M76" s="140"/>
      <c r="N76" s="154"/>
      <c r="O76" s="155"/>
      <c r="P76" s="155"/>
      <c r="Q76" s="155"/>
      <c r="R76" s="162"/>
      <c r="S76" s="163"/>
      <c r="T76" s="163"/>
      <c r="U76" s="163"/>
      <c r="V76" s="163"/>
      <c r="W76" s="161"/>
      <c r="X76" s="162"/>
      <c r="Y76" s="161"/>
      <c r="Z76" s="162"/>
      <c r="AA76" s="164"/>
      <c r="AB76" s="161"/>
      <c r="AC76" s="162"/>
      <c r="AD76" s="161"/>
      <c r="AE76" s="162"/>
      <c r="AF76" s="161"/>
      <c r="AG76" s="162"/>
      <c r="AH76" s="161"/>
      <c r="AI76" s="162"/>
      <c r="AJ76" s="163"/>
      <c r="AK76" s="162"/>
      <c r="AL76" s="161"/>
      <c r="AM76" s="162"/>
      <c r="AN76" s="161"/>
      <c r="AO76" s="162"/>
      <c r="AP76" s="161"/>
      <c r="AQ76" s="165">
        <v>1</v>
      </c>
      <c r="AR76" s="166">
        <v>8.7809399999999996E-2</v>
      </c>
      <c r="AS76" s="162"/>
      <c r="AT76" s="161"/>
      <c r="AU76" s="162"/>
      <c r="AV76" s="167"/>
      <c r="AW76" s="168"/>
      <c r="AX76" s="168"/>
      <c r="AY76" s="168"/>
      <c r="AZ76" s="162"/>
      <c r="BA76" s="161"/>
      <c r="BB76" s="169"/>
      <c r="BC76" s="170">
        <v>0.462060256</v>
      </c>
      <c r="BD76" s="153">
        <f t="shared" si="7"/>
        <v>21.227491656000002</v>
      </c>
      <c r="BE76" s="154">
        <f t="shared" si="5"/>
        <v>12.128622</v>
      </c>
      <c r="BF76" s="155">
        <f t="shared" si="6"/>
        <v>4.5190000000000001</v>
      </c>
      <c r="BG76" s="149">
        <f t="shared" si="9"/>
        <v>4.03</v>
      </c>
      <c r="BH76" s="154"/>
      <c r="BI76" s="155"/>
      <c r="BJ76" s="155"/>
      <c r="BK76" s="155"/>
      <c r="BL76" s="155">
        <v>2E-3</v>
      </c>
      <c r="BM76" s="155">
        <v>3.501582</v>
      </c>
      <c r="BN76" s="155"/>
      <c r="BO76" s="155"/>
      <c r="BP76" s="171">
        <v>2</v>
      </c>
      <c r="BQ76" s="155">
        <v>5.2960399999999996</v>
      </c>
      <c r="BR76" s="155">
        <v>4</v>
      </c>
      <c r="BS76" s="167">
        <v>3.331</v>
      </c>
      <c r="BT76" s="154"/>
      <c r="BU76" s="155"/>
      <c r="BV76" s="155">
        <v>2</v>
      </c>
      <c r="BW76" s="155">
        <v>0.48899999999999999</v>
      </c>
      <c r="BX76" s="159"/>
      <c r="BY76" s="155"/>
      <c r="BZ76" s="155">
        <v>25</v>
      </c>
      <c r="CA76" s="167">
        <v>4.03</v>
      </c>
    </row>
    <row r="77" spans="1:79">
      <c r="A77" s="132"/>
      <c r="B77" s="160" t="s">
        <v>130</v>
      </c>
      <c r="C77" s="134"/>
      <c r="D77" s="135"/>
      <c r="E77" s="136"/>
      <c r="F77" s="137"/>
      <c r="G77" s="137"/>
      <c r="H77" s="137"/>
      <c r="I77" s="137"/>
      <c r="J77" s="137"/>
      <c r="K77" s="138"/>
      <c r="L77" s="139"/>
      <c r="M77" s="140"/>
      <c r="N77" s="154"/>
      <c r="O77" s="155"/>
      <c r="P77" s="155"/>
      <c r="Q77" s="155"/>
      <c r="R77" s="162"/>
      <c r="S77" s="163"/>
      <c r="T77" s="163"/>
      <c r="U77" s="163"/>
      <c r="V77" s="163"/>
      <c r="W77" s="161"/>
      <c r="X77" s="162"/>
      <c r="Y77" s="161"/>
      <c r="Z77" s="162">
        <v>3.6499999999999998E-2</v>
      </c>
      <c r="AA77" s="164">
        <f t="shared" si="8"/>
        <v>44.863080000000004</v>
      </c>
      <c r="AB77" s="161">
        <v>44.996670000000002</v>
      </c>
      <c r="AC77" s="162">
        <v>1.9E-2</v>
      </c>
      <c r="AD77" s="161">
        <v>5.8158626079999998</v>
      </c>
      <c r="AE77" s="162"/>
      <c r="AF77" s="161"/>
      <c r="AG77" s="162"/>
      <c r="AH77" s="161"/>
      <c r="AI77" s="162"/>
      <c r="AJ77" s="163"/>
      <c r="AK77" s="162"/>
      <c r="AL77" s="161"/>
      <c r="AM77" s="162">
        <v>3</v>
      </c>
      <c r="AN77" s="161">
        <v>7.1148835449999996</v>
      </c>
      <c r="AO77" s="162"/>
      <c r="AP77" s="161"/>
      <c r="AQ77" s="165"/>
      <c r="AR77" s="166"/>
      <c r="AS77" s="162"/>
      <c r="AT77" s="161"/>
      <c r="AU77" s="162"/>
      <c r="AV77" s="167"/>
      <c r="AW77" s="168"/>
      <c r="AX77" s="168"/>
      <c r="AY77" s="168"/>
      <c r="AZ77" s="162"/>
      <c r="BA77" s="161"/>
      <c r="BB77" s="169"/>
      <c r="BC77" s="170">
        <v>0.28595714300000002</v>
      </c>
      <c r="BD77" s="153">
        <f t="shared" si="7"/>
        <v>83.079373296</v>
      </c>
      <c r="BE77" s="154">
        <f t="shared" si="5"/>
        <v>13.958</v>
      </c>
      <c r="BF77" s="155">
        <f t="shared" si="6"/>
        <v>6.0289999999999999</v>
      </c>
      <c r="BG77" s="149">
        <f t="shared" si="9"/>
        <v>4.8789999999999996</v>
      </c>
      <c r="BH77" s="154"/>
      <c r="BI77" s="155"/>
      <c r="BJ77" s="155"/>
      <c r="BK77" s="155"/>
      <c r="BL77" s="155"/>
      <c r="BM77" s="155"/>
      <c r="BN77" s="155"/>
      <c r="BO77" s="155"/>
      <c r="BP77" s="171"/>
      <c r="BQ77" s="155"/>
      <c r="BR77" s="155">
        <v>10</v>
      </c>
      <c r="BS77" s="167">
        <v>13.958</v>
      </c>
      <c r="BT77" s="154"/>
      <c r="BU77" s="155"/>
      <c r="BV77" s="155">
        <v>4</v>
      </c>
      <c r="BW77" s="155">
        <v>1.1499999999999999</v>
      </c>
      <c r="BX77" s="159"/>
      <c r="BY77" s="155"/>
      <c r="BZ77" s="155">
        <v>28</v>
      </c>
      <c r="CA77" s="167">
        <v>4.8789999999999996</v>
      </c>
    </row>
    <row r="78" spans="1:79">
      <c r="A78" s="132"/>
      <c r="B78" s="160" t="s">
        <v>131</v>
      </c>
      <c r="C78" s="134"/>
      <c r="D78" s="135"/>
      <c r="E78" s="136"/>
      <c r="F78" s="137"/>
      <c r="G78" s="137"/>
      <c r="H78" s="137"/>
      <c r="I78" s="137"/>
      <c r="J78" s="137"/>
      <c r="K78" s="138"/>
      <c r="L78" s="139"/>
      <c r="M78" s="140"/>
      <c r="N78" s="154"/>
      <c r="O78" s="155"/>
      <c r="P78" s="155"/>
      <c r="Q78" s="155"/>
      <c r="R78" s="162"/>
      <c r="S78" s="163"/>
      <c r="T78" s="163"/>
      <c r="U78" s="163"/>
      <c r="V78" s="163"/>
      <c r="W78" s="161"/>
      <c r="X78" s="162"/>
      <c r="Y78" s="161"/>
      <c r="Z78" s="162"/>
      <c r="AA78" s="164"/>
      <c r="AB78" s="161"/>
      <c r="AC78" s="162"/>
      <c r="AD78" s="161"/>
      <c r="AE78" s="162"/>
      <c r="AF78" s="161"/>
      <c r="AG78" s="162"/>
      <c r="AH78" s="161"/>
      <c r="AI78" s="162"/>
      <c r="AJ78" s="163"/>
      <c r="AK78" s="162"/>
      <c r="AL78" s="161"/>
      <c r="AM78" s="162"/>
      <c r="AN78" s="161"/>
      <c r="AO78" s="162"/>
      <c r="AP78" s="161"/>
      <c r="AQ78" s="165"/>
      <c r="AR78" s="166"/>
      <c r="AS78" s="162"/>
      <c r="AT78" s="161"/>
      <c r="AU78" s="162"/>
      <c r="AV78" s="167"/>
      <c r="AW78" s="168"/>
      <c r="AX78" s="168"/>
      <c r="AY78" s="168"/>
      <c r="AZ78" s="162"/>
      <c r="BA78" s="161"/>
      <c r="BB78" s="169"/>
      <c r="BC78" s="170">
        <v>1.1152234103400001</v>
      </c>
      <c r="BD78" s="153">
        <f t="shared" si="7"/>
        <v>17.25122341034</v>
      </c>
      <c r="BE78" s="154">
        <f t="shared" si="5"/>
        <v>12.047000000000001</v>
      </c>
      <c r="BF78" s="155">
        <f t="shared" si="6"/>
        <v>2.2549999999999999</v>
      </c>
      <c r="BG78" s="149">
        <f t="shared" si="9"/>
        <v>1.8340000000000001</v>
      </c>
      <c r="BH78" s="154"/>
      <c r="BI78" s="155"/>
      <c r="BJ78" s="155"/>
      <c r="BK78" s="155"/>
      <c r="BL78" s="155"/>
      <c r="BM78" s="155"/>
      <c r="BN78" s="155">
        <v>4.0000000000000001E-3</v>
      </c>
      <c r="BO78" s="155">
        <v>4.1219999999999999</v>
      </c>
      <c r="BP78" s="171"/>
      <c r="BQ78" s="155"/>
      <c r="BR78" s="155">
        <v>5</v>
      </c>
      <c r="BS78" s="167">
        <v>7.9249999999999998</v>
      </c>
      <c r="BT78" s="154"/>
      <c r="BU78" s="155"/>
      <c r="BV78" s="155">
        <v>2</v>
      </c>
      <c r="BW78" s="155">
        <v>0.42099999999999999</v>
      </c>
      <c r="BX78" s="159"/>
      <c r="BY78" s="155"/>
      <c r="BZ78" s="155">
        <v>7</v>
      </c>
      <c r="CA78" s="167">
        <v>1.8340000000000001</v>
      </c>
    </row>
    <row r="79" spans="1:79">
      <c r="A79" s="132"/>
      <c r="B79" s="160" t="s">
        <v>132</v>
      </c>
      <c r="C79" s="134"/>
      <c r="D79" s="135"/>
      <c r="E79" s="136"/>
      <c r="F79" s="137"/>
      <c r="G79" s="137"/>
      <c r="H79" s="137"/>
      <c r="I79" s="137"/>
      <c r="J79" s="137"/>
      <c r="K79" s="138"/>
      <c r="L79" s="139"/>
      <c r="M79" s="140"/>
      <c r="N79" s="154"/>
      <c r="O79" s="155"/>
      <c r="P79" s="155"/>
      <c r="Q79" s="155"/>
      <c r="R79" s="162"/>
      <c r="S79" s="163"/>
      <c r="T79" s="163"/>
      <c r="U79" s="163"/>
      <c r="V79" s="163"/>
      <c r="W79" s="161"/>
      <c r="X79" s="162"/>
      <c r="Y79" s="161"/>
      <c r="Z79" s="162"/>
      <c r="AA79" s="164"/>
      <c r="AB79" s="161"/>
      <c r="AC79" s="162"/>
      <c r="AD79" s="161"/>
      <c r="AE79" s="162"/>
      <c r="AF79" s="161"/>
      <c r="AG79" s="162"/>
      <c r="AH79" s="161"/>
      <c r="AI79" s="162"/>
      <c r="AJ79" s="163"/>
      <c r="AK79" s="162"/>
      <c r="AL79" s="161"/>
      <c r="AM79" s="162"/>
      <c r="AN79" s="161"/>
      <c r="AO79" s="162"/>
      <c r="AP79" s="161"/>
      <c r="AQ79" s="165"/>
      <c r="AR79" s="166"/>
      <c r="AS79" s="162"/>
      <c r="AT79" s="161"/>
      <c r="AU79" s="162"/>
      <c r="AV79" s="167"/>
      <c r="AW79" s="168"/>
      <c r="AX79" s="168"/>
      <c r="AY79" s="168"/>
      <c r="AZ79" s="162"/>
      <c r="BA79" s="161"/>
      <c r="BB79" s="169"/>
      <c r="BC79" s="170"/>
      <c r="BD79" s="153">
        <f t="shared" si="7"/>
        <v>13.315999999999999</v>
      </c>
      <c r="BE79" s="154">
        <f t="shared" si="5"/>
        <v>8.1999999999999993</v>
      </c>
      <c r="BF79" s="155">
        <f t="shared" si="6"/>
        <v>4.3099999999999996</v>
      </c>
      <c r="BG79" s="149">
        <f t="shared" si="9"/>
        <v>0.80600000000000005</v>
      </c>
      <c r="BH79" s="154"/>
      <c r="BI79" s="155"/>
      <c r="BJ79" s="155"/>
      <c r="BK79" s="155"/>
      <c r="BL79" s="155"/>
      <c r="BM79" s="155"/>
      <c r="BN79" s="155"/>
      <c r="BO79" s="155"/>
      <c r="BP79" s="171"/>
      <c r="BQ79" s="155"/>
      <c r="BR79" s="155">
        <v>5</v>
      </c>
      <c r="BS79" s="167">
        <v>8.1999999999999993</v>
      </c>
      <c r="BT79" s="154"/>
      <c r="BU79" s="155"/>
      <c r="BV79" s="155">
        <v>1</v>
      </c>
      <c r="BW79" s="155">
        <v>0.24399999999999999</v>
      </c>
      <c r="BX79" s="159">
        <v>1</v>
      </c>
      <c r="BY79" s="155">
        <v>3.26</v>
      </c>
      <c r="BZ79" s="155">
        <v>4</v>
      </c>
      <c r="CA79" s="167">
        <v>0.80600000000000005</v>
      </c>
    </row>
    <row r="80" spans="1:79">
      <c r="A80" s="132"/>
      <c r="B80" s="160" t="s">
        <v>133</v>
      </c>
      <c r="C80" s="134"/>
      <c r="D80" s="135"/>
      <c r="E80" s="136"/>
      <c r="F80" s="137"/>
      <c r="G80" s="137"/>
      <c r="H80" s="137"/>
      <c r="I80" s="137"/>
      <c r="J80" s="137"/>
      <c r="K80" s="138"/>
      <c r="L80" s="139"/>
      <c r="M80" s="140"/>
      <c r="N80" s="154"/>
      <c r="O80" s="155"/>
      <c r="P80" s="155"/>
      <c r="Q80" s="155"/>
      <c r="R80" s="162"/>
      <c r="S80" s="163"/>
      <c r="T80" s="163"/>
      <c r="U80" s="163"/>
      <c r="V80" s="163"/>
      <c r="W80" s="161"/>
      <c r="X80" s="162"/>
      <c r="Y80" s="161"/>
      <c r="Z80" s="162"/>
      <c r="AA80" s="164"/>
      <c r="AB80" s="161"/>
      <c r="AC80" s="162"/>
      <c r="AD80" s="161"/>
      <c r="AE80" s="162"/>
      <c r="AF80" s="161"/>
      <c r="AG80" s="162"/>
      <c r="AH80" s="161"/>
      <c r="AI80" s="162"/>
      <c r="AJ80" s="163"/>
      <c r="AK80" s="162"/>
      <c r="AL80" s="161"/>
      <c r="AM80" s="162"/>
      <c r="AN80" s="161"/>
      <c r="AO80" s="162"/>
      <c r="AP80" s="161"/>
      <c r="AQ80" s="165">
        <v>2</v>
      </c>
      <c r="AR80" s="166">
        <v>1.5129112</v>
      </c>
      <c r="AS80" s="162"/>
      <c r="AT80" s="161"/>
      <c r="AU80" s="162"/>
      <c r="AV80" s="167"/>
      <c r="AW80" s="168"/>
      <c r="AX80" s="168"/>
      <c r="AY80" s="168"/>
      <c r="AZ80" s="162"/>
      <c r="BA80" s="161"/>
      <c r="BB80" s="169"/>
      <c r="BC80" s="170">
        <v>2.208078531</v>
      </c>
      <c r="BD80" s="153">
        <f t="shared" si="7"/>
        <v>28.296956017999999</v>
      </c>
      <c r="BE80" s="154">
        <f t="shared" si="5"/>
        <v>14.916966287000001</v>
      </c>
      <c r="BF80" s="155">
        <f t="shared" si="6"/>
        <v>7.6389999999999993</v>
      </c>
      <c r="BG80" s="149">
        <f t="shared" si="9"/>
        <v>2.02</v>
      </c>
      <c r="BH80" s="154"/>
      <c r="BI80" s="155"/>
      <c r="BJ80" s="155">
        <v>1E-3</v>
      </c>
      <c r="BK80" s="155">
        <v>0.95896628699999997</v>
      </c>
      <c r="BL80" s="155"/>
      <c r="BM80" s="155"/>
      <c r="BN80" s="155"/>
      <c r="BO80" s="155"/>
      <c r="BP80" s="171"/>
      <c r="BQ80" s="155"/>
      <c r="BR80" s="155">
        <v>10</v>
      </c>
      <c r="BS80" s="167">
        <v>13.958</v>
      </c>
      <c r="BT80" s="154">
        <v>0.02</v>
      </c>
      <c r="BU80" s="155">
        <v>5.1459999999999999</v>
      </c>
      <c r="BV80" s="155">
        <v>2</v>
      </c>
      <c r="BW80" s="155">
        <v>0.47299999999999998</v>
      </c>
      <c r="BX80" s="159"/>
      <c r="BY80" s="155"/>
      <c r="BZ80" s="155">
        <v>8</v>
      </c>
      <c r="CA80" s="167">
        <v>2.02</v>
      </c>
    </row>
    <row r="81" spans="1:79">
      <c r="A81" s="132"/>
      <c r="B81" s="160" t="s">
        <v>134</v>
      </c>
      <c r="C81" s="134"/>
      <c r="D81" s="135"/>
      <c r="E81" s="136"/>
      <c r="F81" s="137"/>
      <c r="G81" s="137"/>
      <c r="H81" s="137"/>
      <c r="I81" s="137"/>
      <c r="J81" s="137"/>
      <c r="K81" s="138"/>
      <c r="L81" s="139"/>
      <c r="M81" s="140"/>
      <c r="N81" s="154"/>
      <c r="O81" s="155"/>
      <c r="P81" s="155"/>
      <c r="Q81" s="155"/>
      <c r="R81" s="162">
        <v>2</v>
      </c>
      <c r="S81" s="163">
        <v>0.58423653600000003</v>
      </c>
      <c r="T81" s="163"/>
      <c r="U81" s="163"/>
      <c r="V81" s="163"/>
      <c r="W81" s="161"/>
      <c r="X81" s="162"/>
      <c r="Y81" s="161"/>
      <c r="Z81" s="162"/>
      <c r="AA81" s="164"/>
      <c r="AB81" s="161"/>
      <c r="AC81" s="162"/>
      <c r="AD81" s="161"/>
      <c r="AE81" s="162"/>
      <c r="AF81" s="161"/>
      <c r="AG81" s="162"/>
      <c r="AH81" s="161"/>
      <c r="AI81" s="162"/>
      <c r="AJ81" s="163"/>
      <c r="AK81" s="162"/>
      <c r="AL81" s="161"/>
      <c r="AM81" s="162">
        <v>2</v>
      </c>
      <c r="AN81" s="161">
        <v>12.073257960999999</v>
      </c>
      <c r="AO81" s="162"/>
      <c r="AP81" s="161"/>
      <c r="AQ81" s="165">
        <v>2</v>
      </c>
      <c r="AR81" s="166">
        <v>4.2416939999999999</v>
      </c>
      <c r="AS81" s="162"/>
      <c r="AT81" s="161"/>
      <c r="AU81" s="162"/>
      <c r="AV81" s="167"/>
      <c r="AW81" s="168"/>
      <c r="AX81" s="168"/>
      <c r="AY81" s="168"/>
      <c r="AZ81" s="162"/>
      <c r="BA81" s="161"/>
      <c r="BB81" s="169"/>
      <c r="BC81" s="170">
        <v>109.003376874</v>
      </c>
      <c r="BD81" s="153">
        <f t="shared" si="7"/>
        <v>143.936565371</v>
      </c>
      <c r="BE81" s="154">
        <f t="shared" si="5"/>
        <v>4.5979999999999999</v>
      </c>
      <c r="BF81" s="155">
        <f t="shared" si="6"/>
        <v>6.8359999999999994</v>
      </c>
      <c r="BG81" s="149">
        <f t="shared" si="9"/>
        <v>6.6</v>
      </c>
      <c r="BH81" s="154"/>
      <c r="BI81" s="155"/>
      <c r="BJ81" s="155"/>
      <c r="BK81" s="155"/>
      <c r="BL81" s="155"/>
      <c r="BM81" s="155"/>
      <c r="BN81" s="155">
        <v>2E-3</v>
      </c>
      <c r="BO81" s="155">
        <v>1.8460000000000001</v>
      </c>
      <c r="BP81" s="171"/>
      <c r="BQ81" s="155"/>
      <c r="BR81" s="155">
        <v>3</v>
      </c>
      <c r="BS81" s="167">
        <v>2.7519999999999998</v>
      </c>
      <c r="BT81" s="154"/>
      <c r="BU81" s="155"/>
      <c r="BV81" s="155">
        <v>1</v>
      </c>
      <c r="BW81" s="155">
        <v>0.23599999999999999</v>
      </c>
      <c r="BX81" s="159"/>
      <c r="BY81" s="155"/>
      <c r="BZ81" s="155">
        <v>36</v>
      </c>
      <c r="CA81" s="167">
        <v>6.6</v>
      </c>
    </row>
    <row r="82" spans="1:79">
      <c r="A82" s="132"/>
      <c r="B82" s="160" t="s">
        <v>135</v>
      </c>
      <c r="C82" s="134"/>
      <c r="D82" s="135"/>
      <c r="E82" s="136"/>
      <c r="F82" s="137"/>
      <c r="G82" s="137"/>
      <c r="H82" s="137"/>
      <c r="I82" s="137"/>
      <c r="J82" s="137"/>
      <c r="K82" s="138"/>
      <c r="L82" s="139"/>
      <c r="M82" s="140"/>
      <c r="N82" s="154"/>
      <c r="O82" s="155"/>
      <c r="P82" s="155"/>
      <c r="Q82" s="155"/>
      <c r="R82" s="162"/>
      <c r="S82" s="163"/>
      <c r="T82" s="163"/>
      <c r="U82" s="163"/>
      <c r="V82" s="163"/>
      <c r="W82" s="161"/>
      <c r="X82" s="162"/>
      <c r="Y82" s="161"/>
      <c r="Z82" s="162"/>
      <c r="AA82" s="164"/>
      <c r="AB82" s="161"/>
      <c r="AC82" s="162"/>
      <c r="AD82" s="161"/>
      <c r="AE82" s="162"/>
      <c r="AF82" s="161"/>
      <c r="AG82" s="162">
        <v>9.0000000000000011E-3</v>
      </c>
      <c r="AH82" s="161">
        <v>11.525550580000001</v>
      </c>
      <c r="AI82" s="162"/>
      <c r="AJ82" s="163"/>
      <c r="AK82" s="162"/>
      <c r="AL82" s="161"/>
      <c r="AM82" s="162"/>
      <c r="AN82" s="161"/>
      <c r="AO82" s="162"/>
      <c r="AP82" s="161"/>
      <c r="AQ82" s="165"/>
      <c r="AR82" s="166"/>
      <c r="AS82" s="162"/>
      <c r="AT82" s="161"/>
      <c r="AU82" s="162"/>
      <c r="AV82" s="167"/>
      <c r="AW82" s="168"/>
      <c r="AX82" s="168"/>
      <c r="AY82" s="168"/>
      <c r="AZ82" s="162"/>
      <c r="BA82" s="161"/>
      <c r="BB82" s="169"/>
      <c r="BC82" s="170"/>
      <c r="BD82" s="153">
        <f t="shared" si="7"/>
        <v>29.050492202000001</v>
      </c>
      <c r="BE82" s="154">
        <f t="shared" si="5"/>
        <v>6.6829416219999995</v>
      </c>
      <c r="BF82" s="155">
        <f t="shared" si="6"/>
        <v>9.5169999999999995</v>
      </c>
      <c r="BG82" s="149">
        <f t="shared" si="9"/>
        <v>1.325</v>
      </c>
      <c r="BH82" s="154"/>
      <c r="BI82" s="155"/>
      <c r="BJ82" s="155">
        <v>1E-3</v>
      </c>
      <c r="BK82" s="155">
        <v>0.60015062200000002</v>
      </c>
      <c r="BL82" s="155">
        <v>1E-3</v>
      </c>
      <c r="BM82" s="155">
        <v>1.750791</v>
      </c>
      <c r="BN82" s="155"/>
      <c r="BO82" s="155"/>
      <c r="BP82" s="171"/>
      <c r="BQ82" s="155"/>
      <c r="BR82" s="155">
        <v>4</v>
      </c>
      <c r="BS82" s="167">
        <v>4.3319999999999999</v>
      </c>
      <c r="BT82" s="154">
        <v>0.03</v>
      </c>
      <c r="BU82" s="155">
        <v>7.7190000000000003</v>
      </c>
      <c r="BV82" s="155">
        <v>2</v>
      </c>
      <c r="BW82" s="155">
        <v>0.47299999999999998</v>
      </c>
      <c r="BX82" s="159"/>
      <c r="BY82" s="155"/>
      <c r="BZ82" s="155">
        <v>6</v>
      </c>
      <c r="CA82" s="167">
        <v>1.325</v>
      </c>
    </row>
    <row r="83" spans="1:79">
      <c r="A83" s="132"/>
      <c r="B83" s="160" t="s">
        <v>136</v>
      </c>
      <c r="C83" s="134"/>
      <c r="D83" s="135"/>
      <c r="E83" s="136"/>
      <c r="F83" s="137"/>
      <c r="G83" s="137"/>
      <c r="H83" s="137"/>
      <c r="I83" s="137"/>
      <c r="J83" s="137"/>
      <c r="K83" s="138"/>
      <c r="L83" s="139"/>
      <c r="M83" s="140"/>
      <c r="N83" s="154"/>
      <c r="O83" s="155"/>
      <c r="P83" s="155">
        <v>2E-3</v>
      </c>
      <c r="Q83" s="155">
        <v>0.71355200000000008</v>
      </c>
      <c r="R83" s="162"/>
      <c r="S83" s="163"/>
      <c r="T83" s="163"/>
      <c r="U83" s="163"/>
      <c r="V83" s="163"/>
      <c r="W83" s="161"/>
      <c r="X83" s="162"/>
      <c r="Y83" s="161"/>
      <c r="Z83" s="162">
        <v>1.2500000000000001E-2</v>
      </c>
      <c r="AA83" s="164">
        <f t="shared" si="8"/>
        <v>19.678929999999998</v>
      </c>
      <c r="AB83" s="161">
        <v>19.812519999999999</v>
      </c>
      <c r="AC83" s="162"/>
      <c r="AD83" s="161"/>
      <c r="AE83" s="162"/>
      <c r="AF83" s="161"/>
      <c r="AG83" s="162"/>
      <c r="AH83" s="161"/>
      <c r="AI83" s="162"/>
      <c r="AJ83" s="163"/>
      <c r="AK83" s="162"/>
      <c r="AL83" s="161"/>
      <c r="AM83" s="162">
        <v>2</v>
      </c>
      <c r="AN83" s="161">
        <v>4.1108120515</v>
      </c>
      <c r="AO83" s="162"/>
      <c r="AP83" s="161"/>
      <c r="AQ83" s="165">
        <v>5</v>
      </c>
      <c r="AR83" s="166">
        <v>5.7211470353846154</v>
      </c>
      <c r="AS83" s="162">
        <v>6.5399999999999998E-3</v>
      </c>
      <c r="AT83" s="161">
        <v>21.231218990400002</v>
      </c>
      <c r="AU83" s="162"/>
      <c r="AV83" s="167"/>
      <c r="AW83" s="168"/>
      <c r="AX83" s="168"/>
      <c r="AY83" s="168"/>
      <c r="AZ83" s="162"/>
      <c r="BA83" s="161"/>
      <c r="BB83" s="169"/>
      <c r="BC83" s="170">
        <v>27.53143086203</v>
      </c>
      <c r="BD83" s="153">
        <f t="shared" si="7"/>
        <v>249.62047724951464</v>
      </c>
      <c r="BE83" s="154">
        <f t="shared" si="5"/>
        <v>75.8217963102</v>
      </c>
      <c r="BF83" s="155">
        <f t="shared" si="6"/>
        <v>72.466999999999999</v>
      </c>
      <c r="BG83" s="149">
        <f t="shared" si="9"/>
        <v>22.210999999999999</v>
      </c>
      <c r="BH83" s="154"/>
      <c r="BI83" s="155"/>
      <c r="BJ83" s="155">
        <v>1.1999999999999999E-3</v>
      </c>
      <c r="BK83" s="155">
        <v>0.82179631019999999</v>
      </c>
      <c r="BL83" s="155"/>
      <c r="BM83" s="155"/>
      <c r="BN83" s="155"/>
      <c r="BO83" s="155"/>
      <c r="BP83" s="171"/>
      <c r="BQ83" s="155"/>
      <c r="BR83" s="155">
        <v>48</v>
      </c>
      <c r="BS83" s="167">
        <v>75</v>
      </c>
      <c r="BT83" s="154">
        <v>0.06</v>
      </c>
      <c r="BU83" s="155">
        <v>40.247</v>
      </c>
      <c r="BV83" s="155">
        <v>6</v>
      </c>
      <c r="BW83" s="155">
        <v>1.6339999999999999</v>
      </c>
      <c r="BX83" s="159">
        <v>3</v>
      </c>
      <c r="BY83" s="155">
        <v>8.375</v>
      </c>
      <c r="BZ83" s="155">
        <v>130</v>
      </c>
      <c r="CA83" s="167">
        <v>22.210999999999999</v>
      </c>
    </row>
    <row r="84" spans="1:79">
      <c r="A84" s="132"/>
      <c r="B84" s="160" t="s">
        <v>137</v>
      </c>
      <c r="C84" s="134"/>
      <c r="D84" s="135"/>
      <c r="E84" s="136"/>
      <c r="F84" s="137"/>
      <c r="G84" s="137"/>
      <c r="H84" s="137"/>
      <c r="I84" s="137"/>
      <c r="J84" s="137"/>
      <c r="K84" s="138"/>
      <c r="L84" s="139"/>
      <c r="M84" s="140"/>
      <c r="N84" s="154"/>
      <c r="O84" s="155"/>
      <c r="P84" s="155"/>
      <c r="Q84" s="155"/>
      <c r="R84" s="162"/>
      <c r="S84" s="163"/>
      <c r="T84" s="163"/>
      <c r="U84" s="163"/>
      <c r="V84" s="163"/>
      <c r="W84" s="161"/>
      <c r="X84" s="162"/>
      <c r="Y84" s="161"/>
      <c r="Z84" s="162"/>
      <c r="AA84" s="164"/>
      <c r="AB84" s="161"/>
      <c r="AC84" s="162"/>
      <c r="AD84" s="161"/>
      <c r="AE84" s="162"/>
      <c r="AF84" s="161"/>
      <c r="AG84" s="162"/>
      <c r="AH84" s="161"/>
      <c r="AI84" s="162">
        <v>1</v>
      </c>
      <c r="AJ84" s="163">
        <v>0.77688857099999997</v>
      </c>
      <c r="AK84" s="162"/>
      <c r="AL84" s="161"/>
      <c r="AM84" s="162"/>
      <c r="AN84" s="161"/>
      <c r="AO84" s="162"/>
      <c r="AP84" s="161"/>
      <c r="AQ84" s="165"/>
      <c r="AR84" s="166"/>
      <c r="AS84" s="162"/>
      <c r="AT84" s="161"/>
      <c r="AU84" s="162"/>
      <c r="AV84" s="167"/>
      <c r="AW84" s="168"/>
      <c r="AX84" s="168"/>
      <c r="AY84" s="168"/>
      <c r="AZ84" s="162"/>
      <c r="BA84" s="161"/>
      <c r="BB84" s="169"/>
      <c r="BC84" s="170">
        <v>2.4340000000000002</v>
      </c>
      <c r="BD84" s="153">
        <f t="shared" si="7"/>
        <v>47.593821144999993</v>
      </c>
      <c r="BE84" s="154">
        <f t="shared" si="5"/>
        <v>20.529932574</v>
      </c>
      <c r="BF84" s="155">
        <f t="shared" si="6"/>
        <v>20.056000000000001</v>
      </c>
      <c r="BG84" s="149">
        <f t="shared" si="9"/>
        <v>3.7970000000000002</v>
      </c>
      <c r="BH84" s="154"/>
      <c r="BI84" s="155"/>
      <c r="BJ84" s="155">
        <v>2E-3</v>
      </c>
      <c r="BK84" s="155">
        <v>1.9179325739999999</v>
      </c>
      <c r="BL84" s="155"/>
      <c r="BM84" s="155"/>
      <c r="BN84" s="155">
        <v>6.0000000000000001E-3</v>
      </c>
      <c r="BO84" s="155">
        <v>9.6120000000000001</v>
      </c>
      <c r="BP84" s="171"/>
      <c r="BQ84" s="155"/>
      <c r="BR84" s="155">
        <v>7</v>
      </c>
      <c r="BS84" s="167">
        <v>9</v>
      </c>
      <c r="BT84" s="154">
        <v>5.1999999999999998E-2</v>
      </c>
      <c r="BU84" s="155">
        <v>12.97</v>
      </c>
      <c r="BV84" s="155">
        <v>3</v>
      </c>
      <c r="BW84" s="155">
        <v>0.70899999999999996</v>
      </c>
      <c r="BX84" s="159">
        <v>1</v>
      </c>
      <c r="BY84" s="155">
        <v>2.58</v>
      </c>
      <c r="BZ84" s="155">
        <v>14</v>
      </c>
      <c r="CA84" s="167">
        <v>3.7970000000000002</v>
      </c>
    </row>
    <row r="85" spans="1:79">
      <c r="A85" s="132"/>
      <c r="B85" s="160" t="s">
        <v>138</v>
      </c>
      <c r="C85" s="134"/>
      <c r="D85" s="135"/>
      <c r="E85" s="136"/>
      <c r="F85" s="137"/>
      <c r="G85" s="137"/>
      <c r="H85" s="137"/>
      <c r="I85" s="137"/>
      <c r="J85" s="137"/>
      <c r="K85" s="138"/>
      <c r="L85" s="139"/>
      <c r="M85" s="140"/>
      <c r="N85" s="154"/>
      <c r="O85" s="155"/>
      <c r="P85" s="155"/>
      <c r="Q85" s="155"/>
      <c r="R85" s="162"/>
      <c r="S85" s="163"/>
      <c r="T85" s="163"/>
      <c r="U85" s="163"/>
      <c r="V85" s="163"/>
      <c r="W85" s="161"/>
      <c r="X85" s="162"/>
      <c r="Y85" s="161"/>
      <c r="Z85" s="162"/>
      <c r="AA85" s="164"/>
      <c r="AB85" s="161"/>
      <c r="AC85" s="162"/>
      <c r="AD85" s="161"/>
      <c r="AE85" s="162"/>
      <c r="AF85" s="161"/>
      <c r="AG85" s="162">
        <v>8.0000000000000004E-4</v>
      </c>
      <c r="AH85" s="161">
        <v>2.858099145512</v>
      </c>
      <c r="AI85" s="162"/>
      <c r="AJ85" s="163"/>
      <c r="AK85" s="162"/>
      <c r="AL85" s="161"/>
      <c r="AM85" s="162"/>
      <c r="AN85" s="161"/>
      <c r="AO85" s="162"/>
      <c r="AP85" s="161"/>
      <c r="AQ85" s="165">
        <v>3</v>
      </c>
      <c r="AR85" s="166">
        <v>4.2214562999999998</v>
      </c>
      <c r="AS85" s="162"/>
      <c r="AT85" s="161"/>
      <c r="AU85" s="162"/>
      <c r="AV85" s="167"/>
      <c r="AW85" s="168"/>
      <c r="AX85" s="168"/>
      <c r="AY85" s="168"/>
      <c r="AZ85" s="162"/>
      <c r="BA85" s="161"/>
      <c r="BB85" s="169"/>
      <c r="BC85" s="170">
        <v>6.5346773369999998</v>
      </c>
      <c r="BD85" s="153">
        <f t="shared" si="7"/>
        <v>55.796501611111992</v>
      </c>
      <c r="BE85" s="154">
        <f t="shared" si="5"/>
        <v>23.466268828600001</v>
      </c>
      <c r="BF85" s="155">
        <f t="shared" si="6"/>
        <v>10.77</v>
      </c>
      <c r="BG85" s="149">
        <f t="shared" si="9"/>
        <v>7.9459999999999997</v>
      </c>
      <c r="BH85" s="154"/>
      <c r="BI85" s="155"/>
      <c r="BJ85" s="155">
        <v>2E-3</v>
      </c>
      <c r="BK85" s="155">
        <v>1.1874778286000001</v>
      </c>
      <c r="BL85" s="155">
        <v>1E-3</v>
      </c>
      <c r="BM85" s="155">
        <v>1.750791</v>
      </c>
      <c r="BN85" s="155"/>
      <c r="BO85" s="155"/>
      <c r="BP85" s="171"/>
      <c r="BQ85" s="155"/>
      <c r="BR85" s="155">
        <v>17</v>
      </c>
      <c r="BS85" s="167">
        <v>20.527999999999999</v>
      </c>
      <c r="BT85" s="154"/>
      <c r="BU85" s="155"/>
      <c r="BV85" s="155">
        <v>1</v>
      </c>
      <c r="BW85" s="155">
        <v>0.24399999999999999</v>
      </c>
      <c r="BX85" s="159">
        <v>1</v>
      </c>
      <c r="BY85" s="155">
        <v>2.58</v>
      </c>
      <c r="BZ85" s="155">
        <v>49</v>
      </c>
      <c r="CA85" s="167">
        <v>7.9459999999999997</v>
      </c>
    </row>
    <row r="86" spans="1:79">
      <c r="A86" s="132"/>
      <c r="B86" s="160" t="s">
        <v>139</v>
      </c>
      <c r="C86" s="134"/>
      <c r="D86" s="135"/>
      <c r="E86" s="136"/>
      <c r="F86" s="137"/>
      <c r="G86" s="137"/>
      <c r="H86" s="137"/>
      <c r="I86" s="137"/>
      <c r="J86" s="137"/>
      <c r="K86" s="138"/>
      <c r="L86" s="139"/>
      <c r="M86" s="140"/>
      <c r="N86" s="154"/>
      <c r="O86" s="155"/>
      <c r="P86" s="155"/>
      <c r="Q86" s="155"/>
      <c r="R86" s="162">
        <v>4</v>
      </c>
      <c r="S86" s="163">
        <v>0.72391176400000001</v>
      </c>
      <c r="T86" s="163"/>
      <c r="U86" s="163"/>
      <c r="V86" s="163"/>
      <c r="W86" s="161"/>
      <c r="X86" s="162"/>
      <c r="Y86" s="161"/>
      <c r="Z86" s="162"/>
      <c r="AA86" s="164"/>
      <c r="AB86" s="161"/>
      <c r="AC86" s="162"/>
      <c r="AD86" s="161"/>
      <c r="AE86" s="162"/>
      <c r="AF86" s="161"/>
      <c r="AG86" s="162"/>
      <c r="AH86" s="161"/>
      <c r="AI86" s="162"/>
      <c r="AJ86" s="163"/>
      <c r="AK86" s="162"/>
      <c r="AL86" s="161"/>
      <c r="AM86" s="162"/>
      <c r="AN86" s="161"/>
      <c r="AO86" s="162"/>
      <c r="AP86" s="161"/>
      <c r="AQ86" s="165"/>
      <c r="AR86" s="166"/>
      <c r="AS86" s="162"/>
      <c r="AT86" s="161"/>
      <c r="AU86" s="162"/>
      <c r="AV86" s="167"/>
      <c r="AW86" s="168"/>
      <c r="AX86" s="168"/>
      <c r="AY86" s="168"/>
      <c r="AZ86" s="162"/>
      <c r="BA86" s="161"/>
      <c r="BB86" s="169"/>
      <c r="BC86" s="170">
        <v>1.006</v>
      </c>
      <c r="BD86" s="153">
        <f t="shared" si="7"/>
        <v>22.769911764</v>
      </c>
      <c r="BE86" s="154">
        <f t="shared" si="5"/>
        <v>9.2159999999999993</v>
      </c>
      <c r="BF86" s="155">
        <f t="shared" si="6"/>
        <v>7.9009999999999998</v>
      </c>
      <c r="BG86" s="149">
        <f t="shared" si="9"/>
        <v>3.923</v>
      </c>
      <c r="BH86" s="154"/>
      <c r="BI86" s="155"/>
      <c r="BJ86" s="155"/>
      <c r="BK86" s="155"/>
      <c r="BL86" s="155"/>
      <c r="BM86" s="155"/>
      <c r="BN86" s="155"/>
      <c r="BO86" s="155"/>
      <c r="BP86" s="171"/>
      <c r="BQ86" s="155"/>
      <c r="BR86" s="155">
        <v>7</v>
      </c>
      <c r="BS86" s="167">
        <v>9.2159999999999993</v>
      </c>
      <c r="BT86" s="154"/>
      <c r="BU86" s="155"/>
      <c r="BV86" s="155">
        <v>2</v>
      </c>
      <c r="BW86" s="155">
        <v>0.45500000000000002</v>
      </c>
      <c r="BX86" s="159">
        <v>1</v>
      </c>
      <c r="BY86" s="155">
        <v>3.5230000000000001</v>
      </c>
      <c r="BZ86" s="155">
        <v>30</v>
      </c>
      <c r="CA86" s="167">
        <v>3.923</v>
      </c>
    </row>
    <row r="87" spans="1:79">
      <c r="A87" s="132"/>
      <c r="B87" s="160" t="s">
        <v>140</v>
      </c>
      <c r="C87" s="134"/>
      <c r="D87" s="135"/>
      <c r="E87" s="136"/>
      <c r="F87" s="137"/>
      <c r="G87" s="137"/>
      <c r="H87" s="137"/>
      <c r="I87" s="137"/>
      <c r="J87" s="137"/>
      <c r="K87" s="138"/>
      <c r="L87" s="139"/>
      <c r="M87" s="140"/>
      <c r="N87" s="154"/>
      <c r="O87" s="155"/>
      <c r="P87" s="155"/>
      <c r="Q87" s="155"/>
      <c r="R87" s="162">
        <v>2</v>
      </c>
      <c r="S87" s="163">
        <v>0.36195588200000001</v>
      </c>
      <c r="T87" s="163"/>
      <c r="U87" s="163"/>
      <c r="V87" s="163"/>
      <c r="W87" s="161"/>
      <c r="X87" s="162"/>
      <c r="Y87" s="161"/>
      <c r="Z87" s="162"/>
      <c r="AA87" s="164"/>
      <c r="AB87" s="161"/>
      <c r="AC87" s="162"/>
      <c r="AD87" s="161"/>
      <c r="AE87" s="162"/>
      <c r="AF87" s="161"/>
      <c r="AG87" s="162"/>
      <c r="AH87" s="161"/>
      <c r="AI87" s="162"/>
      <c r="AJ87" s="163"/>
      <c r="AK87" s="162"/>
      <c r="AL87" s="161"/>
      <c r="AM87" s="162"/>
      <c r="AN87" s="161"/>
      <c r="AO87" s="162"/>
      <c r="AP87" s="161"/>
      <c r="AQ87" s="165"/>
      <c r="AR87" s="166"/>
      <c r="AS87" s="162"/>
      <c r="AT87" s="161"/>
      <c r="AU87" s="162"/>
      <c r="AV87" s="167"/>
      <c r="AW87" s="168"/>
      <c r="AX87" s="168"/>
      <c r="AY87" s="168"/>
      <c r="AZ87" s="162"/>
      <c r="BA87" s="161"/>
      <c r="BB87" s="169"/>
      <c r="BC87" s="170">
        <v>2.0093763190000002</v>
      </c>
      <c r="BD87" s="153">
        <f t="shared" si="7"/>
        <v>11.662332201</v>
      </c>
      <c r="BE87" s="154">
        <f t="shared" si="5"/>
        <v>3.0470000000000002</v>
      </c>
      <c r="BF87" s="155">
        <f t="shared" si="6"/>
        <v>3.2439999999999998</v>
      </c>
      <c r="BG87" s="149">
        <f t="shared" si="9"/>
        <v>3</v>
      </c>
      <c r="BH87" s="154"/>
      <c r="BI87" s="155"/>
      <c r="BJ87" s="155"/>
      <c r="BK87" s="155"/>
      <c r="BL87" s="155"/>
      <c r="BM87" s="155"/>
      <c r="BN87" s="155"/>
      <c r="BO87" s="155"/>
      <c r="BP87" s="171"/>
      <c r="BQ87" s="155"/>
      <c r="BR87" s="155">
        <v>4</v>
      </c>
      <c r="BS87" s="167">
        <v>3.0470000000000002</v>
      </c>
      <c r="BT87" s="154"/>
      <c r="BU87" s="155"/>
      <c r="BV87" s="155">
        <v>1</v>
      </c>
      <c r="BW87" s="155">
        <v>0.24399999999999999</v>
      </c>
      <c r="BX87" s="159"/>
      <c r="BY87" s="155"/>
      <c r="BZ87" s="155">
        <v>20</v>
      </c>
      <c r="CA87" s="167">
        <v>3</v>
      </c>
    </row>
    <row r="88" spans="1:79">
      <c r="A88" s="132"/>
      <c r="B88" s="160" t="s">
        <v>141</v>
      </c>
      <c r="C88" s="134"/>
      <c r="D88" s="135"/>
      <c r="E88" s="136"/>
      <c r="F88" s="137"/>
      <c r="G88" s="137"/>
      <c r="H88" s="137"/>
      <c r="I88" s="137"/>
      <c r="J88" s="137"/>
      <c r="K88" s="138"/>
      <c r="L88" s="139"/>
      <c r="M88" s="140"/>
      <c r="N88" s="154"/>
      <c r="O88" s="155"/>
      <c r="P88" s="155"/>
      <c r="Q88" s="155"/>
      <c r="R88" s="162"/>
      <c r="S88" s="163"/>
      <c r="T88" s="163"/>
      <c r="U88" s="163"/>
      <c r="V88" s="163"/>
      <c r="W88" s="161"/>
      <c r="X88" s="162"/>
      <c r="Y88" s="161"/>
      <c r="Z88" s="162">
        <v>1.7000000000000001E-2</v>
      </c>
      <c r="AA88" s="164">
        <f t="shared" si="8"/>
        <v>3.0312800000000002</v>
      </c>
      <c r="AB88" s="161">
        <v>3.1648700000000001</v>
      </c>
      <c r="AC88" s="162"/>
      <c r="AD88" s="161"/>
      <c r="AE88" s="162"/>
      <c r="AF88" s="161"/>
      <c r="AG88" s="162"/>
      <c r="AH88" s="161"/>
      <c r="AI88" s="162"/>
      <c r="AJ88" s="163"/>
      <c r="AK88" s="162">
        <v>2E-3</v>
      </c>
      <c r="AL88" s="161">
        <v>0.77668571419999999</v>
      </c>
      <c r="AM88" s="162"/>
      <c r="AN88" s="161"/>
      <c r="AO88" s="162"/>
      <c r="AP88" s="161"/>
      <c r="AQ88" s="165"/>
      <c r="AR88" s="166"/>
      <c r="AS88" s="162"/>
      <c r="AT88" s="161"/>
      <c r="AU88" s="162"/>
      <c r="AV88" s="167"/>
      <c r="AW88" s="168"/>
      <c r="AX88" s="168"/>
      <c r="AY88" s="168"/>
      <c r="AZ88" s="162"/>
      <c r="BA88" s="161"/>
      <c r="BB88" s="169"/>
      <c r="BC88" s="170"/>
      <c r="BD88" s="153">
        <f t="shared" si="7"/>
        <v>58.156474830800001</v>
      </c>
      <c r="BE88" s="154">
        <f t="shared" si="5"/>
        <v>30.0139191166</v>
      </c>
      <c r="BF88" s="155">
        <f t="shared" si="6"/>
        <v>17.201000000000001</v>
      </c>
      <c r="BG88" s="149">
        <f t="shared" si="9"/>
        <v>7</v>
      </c>
      <c r="BH88" s="154"/>
      <c r="BI88" s="155"/>
      <c r="BJ88" s="155">
        <v>1.8E-3</v>
      </c>
      <c r="BK88" s="155">
        <v>1.7261393165999999</v>
      </c>
      <c r="BL88" s="155">
        <v>8.3000000000000001E-3</v>
      </c>
      <c r="BM88" s="155">
        <v>14.716779799999999</v>
      </c>
      <c r="BN88" s="155"/>
      <c r="BO88" s="155"/>
      <c r="BP88" s="171"/>
      <c r="BQ88" s="155"/>
      <c r="BR88" s="155">
        <v>9</v>
      </c>
      <c r="BS88" s="167">
        <v>13.571</v>
      </c>
      <c r="BT88" s="154">
        <v>2.5000000000000001E-2</v>
      </c>
      <c r="BU88" s="155">
        <v>9.3520000000000003</v>
      </c>
      <c r="BV88" s="155">
        <v>3</v>
      </c>
      <c r="BW88" s="155">
        <v>0.84899999999999998</v>
      </c>
      <c r="BX88" s="159"/>
      <c r="BY88" s="155"/>
      <c r="BZ88" s="155">
        <v>31</v>
      </c>
      <c r="CA88" s="167">
        <v>7</v>
      </c>
    </row>
    <row r="89" spans="1:79">
      <c r="A89" s="132"/>
      <c r="B89" s="160" t="s">
        <v>142</v>
      </c>
      <c r="C89" s="134"/>
      <c r="D89" s="135"/>
      <c r="E89" s="136"/>
      <c r="F89" s="137"/>
      <c r="G89" s="137"/>
      <c r="H89" s="137"/>
      <c r="I89" s="137"/>
      <c r="J89" s="137"/>
      <c r="K89" s="138"/>
      <c r="L89" s="139"/>
      <c r="M89" s="140"/>
      <c r="N89" s="154"/>
      <c r="O89" s="155"/>
      <c r="P89" s="155"/>
      <c r="Q89" s="155"/>
      <c r="R89" s="162"/>
      <c r="S89" s="163"/>
      <c r="T89" s="163">
        <v>113</v>
      </c>
      <c r="U89" s="163">
        <v>55.555696742400002</v>
      </c>
      <c r="V89" s="163"/>
      <c r="W89" s="161"/>
      <c r="X89" s="162"/>
      <c r="Y89" s="161"/>
      <c r="Z89" s="162">
        <v>2.8000000000000001E-2</v>
      </c>
      <c r="AA89" s="164">
        <f t="shared" si="8"/>
        <v>4.7243700000000004</v>
      </c>
      <c r="AB89" s="161">
        <v>4.8579600000000003</v>
      </c>
      <c r="AC89" s="162"/>
      <c r="AD89" s="161"/>
      <c r="AE89" s="162"/>
      <c r="AF89" s="161"/>
      <c r="AG89" s="162">
        <v>6.8999999999999999E-3</v>
      </c>
      <c r="AH89" s="161">
        <v>14.7726998810725</v>
      </c>
      <c r="AI89" s="162"/>
      <c r="AJ89" s="163"/>
      <c r="AK89" s="162">
        <v>5.7000000000000002E-2</v>
      </c>
      <c r="AL89" s="161">
        <v>46.132027101600002</v>
      </c>
      <c r="AM89" s="162"/>
      <c r="AN89" s="161"/>
      <c r="AO89" s="162"/>
      <c r="AP89" s="161"/>
      <c r="AQ89" s="165">
        <v>2</v>
      </c>
      <c r="AR89" s="166">
        <v>0.25692772800000002</v>
      </c>
      <c r="AS89" s="162"/>
      <c r="AT89" s="161"/>
      <c r="AU89" s="162"/>
      <c r="AV89" s="167"/>
      <c r="AW89" s="168"/>
      <c r="AX89" s="168"/>
      <c r="AY89" s="168"/>
      <c r="AZ89" s="162"/>
      <c r="BA89" s="161"/>
      <c r="BB89" s="169"/>
      <c r="BC89" s="170"/>
      <c r="BD89" s="153">
        <f t="shared" si="7"/>
        <v>238.42915868547252</v>
      </c>
      <c r="BE89" s="154">
        <f t="shared" si="5"/>
        <v>85.544847232400002</v>
      </c>
      <c r="BF89" s="155">
        <f t="shared" si="6"/>
        <v>25.309000000000001</v>
      </c>
      <c r="BG89" s="149">
        <f t="shared" si="9"/>
        <v>6</v>
      </c>
      <c r="BH89" s="154"/>
      <c r="BI89" s="155"/>
      <c r="BJ89" s="155"/>
      <c r="BK89" s="155"/>
      <c r="BL89" s="155">
        <v>5.7500000000000002E-2</v>
      </c>
      <c r="BM89" s="155">
        <v>47.129847232400003</v>
      </c>
      <c r="BN89" s="155"/>
      <c r="BO89" s="155"/>
      <c r="BP89" s="171"/>
      <c r="BQ89" s="155"/>
      <c r="BR89" s="155">
        <v>27</v>
      </c>
      <c r="BS89" s="167">
        <v>38.414999999999999</v>
      </c>
      <c r="BT89" s="154">
        <v>0.05</v>
      </c>
      <c r="BU89" s="155">
        <v>18.704000000000001</v>
      </c>
      <c r="BV89" s="155">
        <v>2</v>
      </c>
      <c r="BW89" s="155">
        <v>0.60499999999999998</v>
      </c>
      <c r="BX89" s="159"/>
      <c r="BY89" s="155"/>
      <c r="BZ89" s="155">
        <v>25</v>
      </c>
      <c r="CA89" s="167">
        <v>6</v>
      </c>
    </row>
    <row r="90" spans="1:79">
      <c r="A90" s="132"/>
      <c r="B90" s="160" t="s">
        <v>143</v>
      </c>
      <c r="C90" s="134"/>
      <c r="D90" s="135"/>
      <c r="E90" s="136"/>
      <c r="F90" s="137"/>
      <c r="G90" s="137"/>
      <c r="H90" s="137"/>
      <c r="I90" s="137"/>
      <c r="J90" s="137"/>
      <c r="K90" s="138"/>
      <c r="L90" s="139"/>
      <c r="M90" s="140"/>
      <c r="N90" s="154"/>
      <c r="O90" s="155"/>
      <c r="P90" s="155"/>
      <c r="Q90" s="155"/>
      <c r="R90" s="162"/>
      <c r="S90" s="163"/>
      <c r="T90" s="163"/>
      <c r="U90" s="163"/>
      <c r="V90" s="163"/>
      <c r="W90" s="161"/>
      <c r="X90" s="162"/>
      <c r="Y90" s="161"/>
      <c r="Z90" s="162">
        <v>0.16259999999999999</v>
      </c>
      <c r="AA90" s="164">
        <f t="shared" si="8"/>
        <v>21.891046134919996</v>
      </c>
      <c r="AB90" s="161">
        <v>22.024636134919998</v>
      </c>
      <c r="AC90" s="162"/>
      <c r="AD90" s="161"/>
      <c r="AE90" s="162"/>
      <c r="AF90" s="161"/>
      <c r="AG90" s="162"/>
      <c r="AH90" s="161"/>
      <c r="AI90" s="162"/>
      <c r="AJ90" s="163"/>
      <c r="AK90" s="162">
        <v>2E-3</v>
      </c>
      <c r="AL90" s="161">
        <v>1.6186676176000001</v>
      </c>
      <c r="AM90" s="162"/>
      <c r="AN90" s="161"/>
      <c r="AO90" s="162"/>
      <c r="AP90" s="161"/>
      <c r="AQ90" s="165">
        <v>25</v>
      </c>
      <c r="AR90" s="166">
        <v>5.7477653901639343</v>
      </c>
      <c r="AS90" s="162"/>
      <c r="AT90" s="161"/>
      <c r="AU90" s="162"/>
      <c r="AV90" s="167"/>
      <c r="AW90" s="168"/>
      <c r="AX90" s="168"/>
      <c r="AY90" s="168"/>
      <c r="AZ90" s="162"/>
      <c r="BA90" s="161"/>
      <c r="BB90" s="169"/>
      <c r="BC90" s="170">
        <v>3.2330000000000001</v>
      </c>
      <c r="BD90" s="153">
        <f t="shared" si="7"/>
        <v>108.87208647768395</v>
      </c>
      <c r="BE90" s="154">
        <f t="shared" si="5"/>
        <v>36.133017335000005</v>
      </c>
      <c r="BF90" s="155">
        <f t="shared" si="6"/>
        <v>21.115000000000002</v>
      </c>
      <c r="BG90" s="149">
        <f t="shared" si="9"/>
        <v>19</v>
      </c>
      <c r="BH90" s="154"/>
      <c r="BI90" s="155"/>
      <c r="BJ90" s="155">
        <v>3.5000000000000001E-3</v>
      </c>
      <c r="BK90" s="155">
        <v>4.0174183350000003</v>
      </c>
      <c r="BL90" s="155">
        <v>1E-3</v>
      </c>
      <c r="BM90" s="155">
        <v>0.5905990000000001</v>
      </c>
      <c r="BN90" s="155">
        <v>5.0000000000000001E-3</v>
      </c>
      <c r="BO90" s="155">
        <v>4.4630000000000001</v>
      </c>
      <c r="BP90" s="171"/>
      <c r="BQ90" s="155"/>
      <c r="BR90" s="155">
        <v>37</v>
      </c>
      <c r="BS90" s="167">
        <v>27.062000000000001</v>
      </c>
      <c r="BT90" s="154">
        <v>1.4999999999999999E-2</v>
      </c>
      <c r="BU90" s="155">
        <v>1.522</v>
      </c>
      <c r="BV90" s="155">
        <v>4</v>
      </c>
      <c r="BW90" s="155">
        <v>0.59299999999999997</v>
      </c>
      <c r="BX90" s="159"/>
      <c r="BY90" s="155"/>
      <c r="BZ90" s="155">
        <v>99</v>
      </c>
      <c r="CA90" s="167">
        <v>19</v>
      </c>
    </row>
    <row r="91" spans="1:79">
      <c r="A91" s="132"/>
      <c r="B91" s="160" t="s">
        <v>144</v>
      </c>
      <c r="C91" s="134"/>
      <c r="D91" s="135"/>
      <c r="E91" s="136"/>
      <c r="F91" s="137"/>
      <c r="G91" s="137"/>
      <c r="H91" s="137"/>
      <c r="I91" s="137"/>
      <c r="J91" s="137"/>
      <c r="K91" s="138"/>
      <c r="L91" s="139"/>
      <c r="M91" s="140"/>
      <c r="N91" s="154"/>
      <c r="O91" s="155"/>
      <c r="P91" s="155"/>
      <c r="Q91" s="155"/>
      <c r="R91" s="162"/>
      <c r="S91" s="163"/>
      <c r="T91" s="163"/>
      <c r="U91" s="163"/>
      <c r="V91" s="163"/>
      <c r="W91" s="161"/>
      <c r="X91" s="162"/>
      <c r="Y91" s="161"/>
      <c r="Z91" s="162">
        <v>2.8000000000000001E-2</v>
      </c>
      <c r="AA91" s="164">
        <f t="shared" si="8"/>
        <v>2.6871169043999998</v>
      </c>
      <c r="AB91" s="161">
        <f>Z91*100.7395323</f>
        <v>2.8207069043999997</v>
      </c>
      <c r="AC91" s="162">
        <v>2.9999999999999997E-4</v>
      </c>
      <c r="AD91" s="161">
        <v>0.16787561936999998</v>
      </c>
      <c r="AE91" s="162"/>
      <c r="AF91" s="161"/>
      <c r="AG91" s="162"/>
      <c r="AH91" s="161"/>
      <c r="AI91" s="162">
        <v>3</v>
      </c>
      <c r="AJ91" s="163">
        <v>2.1030741179999999</v>
      </c>
      <c r="AK91" s="162"/>
      <c r="AL91" s="161"/>
      <c r="AM91" s="162"/>
      <c r="AN91" s="161"/>
      <c r="AO91" s="162">
        <v>1</v>
      </c>
      <c r="AP91" s="161">
        <v>24.358389824</v>
      </c>
      <c r="AQ91" s="165">
        <v>6</v>
      </c>
      <c r="AR91" s="166">
        <v>4.7679955720000002</v>
      </c>
      <c r="AS91" s="162"/>
      <c r="AT91" s="161"/>
      <c r="AU91" s="162"/>
      <c r="AV91" s="167"/>
      <c r="AW91" s="168"/>
      <c r="AX91" s="168"/>
      <c r="AY91" s="168"/>
      <c r="AZ91" s="162"/>
      <c r="BA91" s="161"/>
      <c r="BB91" s="169"/>
      <c r="BC91" s="170">
        <v>16.931999999999999</v>
      </c>
      <c r="BD91" s="153">
        <f t="shared" si="7"/>
        <v>96.345593330170004</v>
      </c>
      <c r="BE91" s="154">
        <f t="shared" si="5"/>
        <v>30.845551292400003</v>
      </c>
      <c r="BF91" s="155">
        <f t="shared" si="6"/>
        <v>11.35</v>
      </c>
      <c r="BG91" s="149">
        <f t="shared" si="9"/>
        <v>3</v>
      </c>
      <c r="BH91" s="154"/>
      <c r="BI91" s="155"/>
      <c r="BJ91" s="155">
        <v>4.0000000000000001E-3</v>
      </c>
      <c r="BK91" s="155">
        <v>4.5913352400000003</v>
      </c>
      <c r="BL91" s="155">
        <v>7.0000000000000001E-3</v>
      </c>
      <c r="BM91" s="155">
        <v>6.9838810524000001</v>
      </c>
      <c r="BN91" s="155"/>
      <c r="BO91" s="155"/>
      <c r="BP91" s="171">
        <v>1</v>
      </c>
      <c r="BQ91" s="155">
        <v>0.85133499999999995</v>
      </c>
      <c r="BR91" s="155">
        <v>25</v>
      </c>
      <c r="BS91" s="167">
        <v>18.419</v>
      </c>
      <c r="BT91" s="154"/>
      <c r="BU91" s="155"/>
      <c r="BV91" s="155">
        <v>1</v>
      </c>
      <c r="BW91" s="155">
        <v>0.17699999999999999</v>
      </c>
      <c r="BX91" s="159">
        <v>5</v>
      </c>
      <c r="BY91" s="155">
        <v>8.173</v>
      </c>
      <c r="BZ91" s="155">
        <v>26</v>
      </c>
      <c r="CA91" s="167">
        <v>3</v>
      </c>
    </row>
    <row r="92" spans="1:79">
      <c r="A92" s="132"/>
      <c r="B92" s="160" t="s">
        <v>145</v>
      </c>
      <c r="C92" s="134"/>
      <c r="D92" s="135"/>
      <c r="E92" s="136"/>
      <c r="F92" s="137"/>
      <c r="G92" s="137"/>
      <c r="H92" s="137"/>
      <c r="I92" s="137"/>
      <c r="J92" s="137"/>
      <c r="K92" s="138"/>
      <c r="L92" s="139"/>
      <c r="M92" s="140"/>
      <c r="N92" s="154"/>
      <c r="O92" s="155"/>
      <c r="P92" s="155">
        <v>4.0000000000000001E-3</v>
      </c>
      <c r="Q92" s="155">
        <v>3.2876048496000001</v>
      </c>
      <c r="R92" s="162"/>
      <c r="S92" s="163"/>
      <c r="T92" s="163"/>
      <c r="U92" s="163"/>
      <c r="V92" s="163"/>
      <c r="W92" s="161"/>
      <c r="X92" s="162"/>
      <c r="Y92" s="161"/>
      <c r="Z92" s="162">
        <v>5.0000000000000001E-4</v>
      </c>
      <c r="AA92" s="164"/>
      <c r="AB92" s="161">
        <v>6.1338315000000004E-2</v>
      </c>
      <c r="AC92" s="162"/>
      <c r="AD92" s="161"/>
      <c r="AE92" s="162"/>
      <c r="AF92" s="161"/>
      <c r="AG92" s="162"/>
      <c r="AH92" s="161"/>
      <c r="AI92" s="162"/>
      <c r="AJ92" s="163"/>
      <c r="AK92" s="162"/>
      <c r="AL92" s="161"/>
      <c r="AM92" s="162">
        <v>2</v>
      </c>
      <c r="AN92" s="161">
        <v>3.4677470449999999</v>
      </c>
      <c r="AO92" s="162"/>
      <c r="AP92" s="161"/>
      <c r="AQ92" s="165">
        <v>17</v>
      </c>
      <c r="AR92" s="166">
        <v>4.5152049452622958</v>
      </c>
      <c r="AS92" s="162"/>
      <c r="AT92" s="161"/>
      <c r="AU92" s="162"/>
      <c r="AV92" s="167"/>
      <c r="AW92" s="168"/>
      <c r="AX92" s="168"/>
      <c r="AY92" s="168"/>
      <c r="AZ92" s="162"/>
      <c r="BA92" s="161"/>
      <c r="BB92" s="169"/>
      <c r="BC92" s="170">
        <v>7.1692741097999999</v>
      </c>
      <c r="BD92" s="153">
        <f t="shared" si="7"/>
        <v>76.853319886662291</v>
      </c>
      <c r="BE92" s="154">
        <f t="shared" si="5"/>
        <v>32.147150621999998</v>
      </c>
      <c r="BF92" s="155">
        <f t="shared" si="6"/>
        <v>17.204999999999998</v>
      </c>
      <c r="BG92" s="149">
        <f t="shared" si="9"/>
        <v>9</v>
      </c>
      <c r="BH92" s="154"/>
      <c r="BI92" s="155"/>
      <c r="BJ92" s="155">
        <v>1E-3</v>
      </c>
      <c r="BK92" s="155">
        <v>0.60015062200000002</v>
      </c>
      <c r="BL92" s="155"/>
      <c r="BM92" s="155"/>
      <c r="BN92" s="155">
        <v>1E-3</v>
      </c>
      <c r="BO92" s="155">
        <v>0.63900000000000001</v>
      </c>
      <c r="BP92" s="171"/>
      <c r="BQ92" s="155"/>
      <c r="BR92" s="155">
        <v>38</v>
      </c>
      <c r="BS92" s="167">
        <v>30.908000000000001</v>
      </c>
      <c r="BT92" s="154">
        <v>3.0000000000000001E-3</v>
      </c>
      <c r="BU92" s="155">
        <v>0.77200000000000002</v>
      </c>
      <c r="BV92" s="155">
        <v>9</v>
      </c>
      <c r="BW92" s="155">
        <v>2.1269999999999998</v>
      </c>
      <c r="BX92" s="159">
        <v>2</v>
      </c>
      <c r="BY92" s="155">
        <v>5.306</v>
      </c>
      <c r="BZ92" s="155">
        <v>67</v>
      </c>
      <c r="CA92" s="167">
        <v>9</v>
      </c>
    </row>
    <row r="93" spans="1:79">
      <c r="A93" s="132"/>
      <c r="B93" s="160" t="s">
        <v>146</v>
      </c>
      <c r="C93" s="134"/>
      <c r="D93" s="135"/>
      <c r="E93" s="136"/>
      <c r="F93" s="137"/>
      <c r="G93" s="137"/>
      <c r="H93" s="137"/>
      <c r="I93" s="137"/>
      <c r="J93" s="137"/>
      <c r="K93" s="138"/>
      <c r="L93" s="139"/>
      <c r="M93" s="140"/>
      <c r="N93" s="154"/>
      <c r="O93" s="155"/>
      <c r="P93" s="155">
        <v>5.0000000000000001E-4</v>
      </c>
      <c r="Q93" s="155">
        <v>0.41095060620000001</v>
      </c>
      <c r="R93" s="162"/>
      <c r="S93" s="163"/>
      <c r="T93" s="163"/>
      <c r="U93" s="163"/>
      <c r="V93" s="163"/>
      <c r="W93" s="161"/>
      <c r="X93" s="162"/>
      <c r="Y93" s="161"/>
      <c r="Z93" s="162">
        <v>2E-3</v>
      </c>
      <c r="AA93" s="164">
        <f t="shared" si="8"/>
        <v>0.16079869800000002</v>
      </c>
      <c r="AB93" s="161">
        <v>0.294388698</v>
      </c>
      <c r="AC93" s="162"/>
      <c r="AD93" s="161"/>
      <c r="AE93" s="162"/>
      <c r="AF93" s="161"/>
      <c r="AG93" s="162"/>
      <c r="AH93" s="161"/>
      <c r="AI93" s="162"/>
      <c r="AJ93" s="163"/>
      <c r="AK93" s="162"/>
      <c r="AL93" s="161"/>
      <c r="AM93" s="162"/>
      <c r="AN93" s="161"/>
      <c r="AO93" s="162"/>
      <c r="AP93" s="161"/>
      <c r="AQ93" s="165">
        <v>28</v>
      </c>
      <c r="AR93" s="166">
        <v>14.09850435081967</v>
      </c>
      <c r="AS93" s="162"/>
      <c r="AT93" s="161"/>
      <c r="AU93" s="162"/>
      <c r="AV93" s="167"/>
      <c r="AW93" s="168"/>
      <c r="AX93" s="168"/>
      <c r="AY93" s="168"/>
      <c r="AZ93" s="162"/>
      <c r="BA93" s="161"/>
      <c r="BB93" s="169"/>
      <c r="BC93" s="170">
        <v>3.1662183359999996</v>
      </c>
      <c r="BD93" s="153">
        <f t="shared" si="7"/>
        <v>65.103788937019658</v>
      </c>
      <c r="BE93" s="154">
        <f t="shared" si="5"/>
        <v>32.889726945999996</v>
      </c>
      <c r="BF93" s="155">
        <f t="shared" si="6"/>
        <v>7.2439999999999998</v>
      </c>
      <c r="BG93" s="149">
        <f t="shared" si="9"/>
        <v>7</v>
      </c>
      <c r="BH93" s="154"/>
      <c r="BI93" s="155"/>
      <c r="BJ93" s="155">
        <v>4.0000000000000001E-3</v>
      </c>
      <c r="BK93" s="155">
        <v>3.8358651479999999</v>
      </c>
      <c r="BL93" s="155">
        <v>2E-3</v>
      </c>
      <c r="BM93" s="155">
        <v>4.3088617979999997</v>
      </c>
      <c r="BN93" s="155">
        <v>2E-3</v>
      </c>
      <c r="BO93" s="155">
        <v>0.97199999999999998</v>
      </c>
      <c r="BP93" s="171"/>
      <c r="BQ93" s="155"/>
      <c r="BR93" s="155">
        <v>25</v>
      </c>
      <c r="BS93" s="167">
        <v>23.773</v>
      </c>
      <c r="BT93" s="154"/>
      <c r="BU93" s="155"/>
      <c r="BV93" s="155">
        <v>1</v>
      </c>
      <c r="BW93" s="155">
        <v>0.24399999999999999</v>
      </c>
      <c r="BX93" s="159"/>
      <c r="BY93" s="155"/>
      <c r="BZ93" s="155">
        <v>56</v>
      </c>
      <c r="CA93" s="167">
        <v>7</v>
      </c>
    </row>
    <row r="94" spans="1:79">
      <c r="A94" s="132"/>
      <c r="B94" s="160" t="s">
        <v>147</v>
      </c>
      <c r="C94" s="134"/>
      <c r="D94" s="135"/>
      <c r="E94" s="136"/>
      <c r="F94" s="137"/>
      <c r="G94" s="137"/>
      <c r="H94" s="137"/>
      <c r="I94" s="137"/>
      <c r="J94" s="137"/>
      <c r="K94" s="138"/>
      <c r="L94" s="139"/>
      <c r="M94" s="140"/>
      <c r="N94" s="154"/>
      <c r="O94" s="155"/>
      <c r="P94" s="155"/>
      <c r="Q94" s="155"/>
      <c r="R94" s="162"/>
      <c r="S94" s="163"/>
      <c r="T94" s="163"/>
      <c r="U94" s="163"/>
      <c r="V94" s="163"/>
      <c r="W94" s="161"/>
      <c r="X94" s="162"/>
      <c r="Y94" s="161"/>
      <c r="Z94" s="162"/>
      <c r="AA94" s="164"/>
      <c r="AB94" s="161"/>
      <c r="AC94" s="162"/>
      <c r="AD94" s="161"/>
      <c r="AE94" s="162"/>
      <c r="AF94" s="161"/>
      <c r="AG94" s="162"/>
      <c r="AH94" s="161"/>
      <c r="AI94" s="162"/>
      <c r="AJ94" s="163"/>
      <c r="AK94" s="162"/>
      <c r="AL94" s="161"/>
      <c r="AM94" s="162"/>
      <c r="AN94" s="161"/>
      <c r="AO94" s="162"/>
      <c r="AP94" s="161"/>
      <c r="AQ94" s="165">
        <v>7</v>
      </c>
      <c r="AR94" s="166">
        <v>8.4479599999999984</v>
      </c>
      <c r="AS94" s="162"/>
      <c r="AT94" s="161"/>
      <c r="AU94" s="162"/>
      <c r="AV94" s="167"/>
      <c r="AW94" s="168"/>
      <c r="AX94" s="168"/>
      <c r="AY94" s="168"/>
      <c r="AZ94" s="162">
        <v>2</v>
      </c>
      <c r="BA94" s="161">
        <v>19.764459599999999</v>
      </c>
      <c r="BB94" s="169"/>
      <c r="BC94" s="170">
        <v>8.2763049740000003</v>
      </c>
      <c r="BD94" s="153">
        <f t="shared" si="7"/>
        <v>147.48492376320002</v>
      </c>
      <c r="BE94" s="154">
        <f t="shared" si="5"/>
        <v>74.3981991892</v>
      </c>
      <c r="BF94" s="155">
        <f t="shared" si="6"/>
        <v>22.597999999999999</v>
      </c>
      <c r="BG94" s="149">
        <f t="shared" si="9"/>
        <v>14</v>
      </c>
      <c r="BH94" s="154">
        <v>4.45E-3</v>
      </c>
      <c r="BI94" s="155">
        <v>1.9816815111999999</v>
      </c>
      <c r="BJ94" s="155">
        <v>1.95E-2</v>
      </c>
      <c r="BK94" s="155">
        <v>13.238517678000001</v>
      </c>
      <c r="BL94" s="155"/>
      <c r="BM94" s="155"/>
      <c r="BN94" s="155">
        <v>1.2E-2</v>
      </c>
      <c r="BO94" s="155">
        <v>7.7169999999999996</v>
      </c>
      <c r="BP94" s="171"/>
      <c r="BQ94" s="155"/>
      <c r="BR94" s="155">
        <v>57</v>
      </c>
      <c r="BS94" s="167">
        <v>51.460999999999999</v>
      </c>
      <c r="BT94" s="154">
        <v>1.4999999999999999E-2</v>
      </c>
      <c r="BU94" s="155">
        <v>3.2440000000000002</v>
      </c>
      <c r="BV94" s="155">
        <v>1</v>
      </c>
      <c r="BW94" s="155">
        <v>0.24399999999999999</v>
      </c>
      <c r="BX94" s="159">
        <v>3</v>
      </c>
      <c r="BY94" s="155">
        <v>5.1100000000000003</v>
      </c>
      <c r="BZ94" s="155">
        <v>58</v>
      </c>
      <c r="CA94" s="167">
        <v>14</v>
      </c>
    </row>
    <row r="95" spans="1:79">
      <c r="A95" s="132"/>
      <c r="B95" s="160" t="s">
        <v>148</v>
      </c>
      <c r="C95" s="134"/>
      <c r="D95" s="135"/>
      <c r="E95" s="136"/>
      <c r="F95" s="137"/>
      <c r="G95" s="137"/>
      <c r="H95" s="137"/>
      <c r="I95" s="137"/>
      <c r="J95" s="137"/>
      <c r="K95" s="138"/>
      <c r="L95" s="139"/>
      <c r="M95" s="140"/>
      <c r="N95" s="154"/>
      <c r="O95" s="155"/>
      <c r="P95" s="155"/>
      <c r="Q95" s="155"/>
      <c r="R95" s="162"/>
      <c r="S95" s="163"/>
      <c r="T95" s="163"/>
      <c r="U95" s="163"/>
      <c r="V95" s="163"/>
      <c r="W95" s="161"/>
      <c r="X95" s="162"/>
      <c r="Y95" s="161"/>
      <c r="Z95" s="162"/>
      <c r="AA95" s="164"/>
      <c r="AB95" s="161"/>
      <c r="AC95" s="162"/>
      <c r="AD95" s="161"/>
      <c r="AE95" s="162"/>
      <c r="AF95" s="161"/>
      <c r="AG95" s="162"/>
      <c r="AH95" s="161"/>
      <c r="AI95" s="162"/>
      <c r="AJ95" s="163"/>
      <c r="AK95" s="162"/>
      <c r="AL95" s="161"/>
      <c r="AM95" s="162">
        <v>1</v>
      </c>
      <c r="AN95" s="161">
        <v>1.4624532290000001</v>
      </c>
      <c r="AO95" s="162"/>
      <c r="AP95" s="161"/>
      <c r="AQ95" s="165">
        <v>5</v>
      </c>
      <c r="AR95" s="166">
        <v>1.69676845</v>
      </c>
      <c r="AS95" s="162"/>
      <c r="AT95" s="161"/>
      <c r="AU95" s="162"/>
      <c r="AV95" s="167"/>
      <c r="AW95" s="168"/>
      <c r="AX95" s="168"/>
      <c r="AY95" s="168"/>
      <c r="AZ95" s="162"/>
      <c r="BA95" s="161"/>
      <c r="BB95" s="169"/>
      <c r="BC95" s="170">
        <v>1.3929912099999999</v>
      </c>
      <c r="BD95" s="153">
        <f t="shared" si="7"/>
        <v>97.864947655500004</v>
      </c>
      <c r="BE95" s="154">
        <f t="shared" si="5"/>
        <v>37.966734766499997</v>
      </c>
      <c r="BF95" s="155">
        <f t="shared" si="6"/>
        <v>35.346000000000004</v>
      </c>
      <c r="BG95" s="149">
        <f t="shared" si="9"/>
        <v>20</v>
      </c>
      <c r="BH95" s="154"/>
      <c r="BI95" s="155"/>
      <c r="BJ95" s="155">
        <v>5.0000000000000001E-3</v>
      </c>
      <c r="BK95" s="155">
        <v>4.0531333334999999</v>
      </c>
      <c r="BL95" s="155">
        <v>8.0000000000000002E-3</v>
      </c>
      <c r="BM95" s="155">
        <v>6.7159220000000008</v>
      </c>
      <c r="BN95" s="155">
        <v>4.0000000000000001E-3</v>
      </c>
      <c r="BO95" s="155">
        <v>3.3580000000000001</v>
      </c>
      <c r="BP95" s="171">
        <v>4</v>
      </c>
      <c r="BQ95" s="155">
        <v>6.3986794329999999</v>
      </c>
      <c r="BR95" s="155">
        <v>21</v>
      </c>
      <c r="BS95" s="167">
        <v>17.440999999999999</v>
      </c>
      <c r="BT95" s="154">
        <v>0.06</v>
      </c>
      <c r="BU95" s="155">
        <v>12.977</v>
      </c>
      <c r="BV95" s="155">
        <v>4</v>
      </c>
      <c r="BW95" s="155">
        <v>0.998</v>
      </c>
      <c r="BX95" s="159">
        <v>1</v>
      </c>
      <c r="BY95" s="155">
        <v>1.371</v>
      </c>
      <c r="BZ95" s="155">
        <v>20</v>
      </c>
      <c r="CA95" s="167">
        <v>20</v>
      </c>
    </row>
    <row r="96" spans="1:79">
      <c r="A96" s="132"/>
      <c r="B96" s="160" t="s">
        <v>149</v>
      </c>
      <c r="C96" s="134"/>
      <c r="D96" s="135"/>
      <c r="E96" s="136"/>
      <c r="F96" s="137"/>
      <c r="G96" s="137"/>
      <c r="H96" s="137"/>
      <c r="I96" s="137"/>
      <c r="J96" s="137"/>
      <c r="K96" s="138"/>
      <c r="L96" s="139"/>
      <c r="M96" s="140"/>
      <c r="N96" s="154">
        <v>1.4999999999999999E-2</v>
      </c>
      <c r="O96" s="155">
        <v>1.6191825205499999</v>
      </c>
      <c r="P96" s="155"/>
      <c r="Q96" s="155"/>
      <c r="R96" s="162"/>
      <c r="S96" s="163"/>
      <c r="T96" s="163"/>
      <c r="U96" s="163"/>
      <c r="V96" s="163"/>
      <c r="W96" s="161"/>
      <c r="X96" s="162"/>
      <c r="Y96" s="161"/>
      <c r="Z96" s="162">
        <v>1.2200000000000001E-2</v>
      </c>
      <c r="AA96" s="164">
        <f t="shared" si="8"/>
        <v>2.4520711500600001</v>
      </c>
      <c r="AB96" s="161">
        <v>2.58566115006</v>
      </c>
      <c r="AC96" s="162"/>
      <c r="AD96" s="161"/>
      <c r="AE96" s="162"/>
      <c r="AF96" s="161"/>
      <c r="AG96" s="162"/>
      <c r="AH96" s="161"/>
      <c r="AI96" s="162">
        <v>6</v>
      </c>
      <c r="AJ96" s="163">
        <v>4.861413228</v>
      </c>
      <c r="AK96" s="162"/>
      <c r="AL96" s="161"/>
      <c r="AM96" s="162">
        <v>3</v>
      </c>
      <c r="AN96" s="161">
        <v>15.830873401000002</v>
      </c>
      <c r="AO96" s="162">
        <v>1</v>
      </c>
      <c r="AP96" s="161">
        <v>44.149581556000001</v>
      </c>
      <c r="AQ96" s="165">
        <v>11</v>
      </c>
      <c r="AR96" s="166">
        <v>10.8824551</v>
      </c>
      <c r="AS96" s="162"/>
      <c r="AT96" s="161"/>
      <c r="AU96" s="162"/>
      <c r="AV96" s="167"/>
      <c r="AW96" s="168"/>
      <c r="AX96" s="168"/>
      <c r="AY96" s="168"/>
      <c r="AZ96" s="162"/>
      <c r="BA96" s="161"/>
      <c r="BB96" s="169"/>
      <c r="BC96" s="170">
        <v>20.882579999930002</v>
      </c>
      <c r="BD96" s="153">
        <f t="shared" si="7"/>
        <v>166.91166675554001</v>
      </c>
      <c r="BE96" s="154">
        <f t="shared" si="5"/>
        <v>23.580919799999997</v>
      </c>
      <c r="BF96" s="155">
        <f t="shared" si="6"/>
        <v>26.673999999999999</v>
      </c>
      <c r="BG96" s="149">
        <f t="shared" si="9"/>
        <v>15.845000000000001</v>
      </c>
      <c r="BH96" s="154"/>
      <c r="BI96" s="155"/>
      <c r="BJ96" s="155">
        <v>4.1999999999999997E-3</v>
      </c>
      <c r="BK96" s="155">
        <v>3.2959999999999998</v>
      </c>
      <c r="BL96" s="155"/>
      <c r="BM96" s="155"/>
      <c r="BN96" s="155"/>
      <c r="BO96" s="155"/>
      <c r="BP96" s="171">
        <v>1</v>
      </c>
      <c r="BQ96" s="155">
        <v>3.8239198000000001</v>
      </c>
      <c r="BR96" s="155">
        <v>14</v>
      </c>
      <c r="BS96" s="167">
        <v>16.460999999999999</v>
      </c>
      <c r="BT96" s="154">
        <v>0.10299999999999999</v>
      </c>
      <c r="BU96" s="155">
        <v>8.5730000000000004</v>
      </c>
      <c r="BV96" s="155">
        <v>3</v>
      </c>
      <c r="BW96" s="155">
        <v>0.47299999999999998</v>
      </c>
      <c r="BX96" s="159">
        <v>1</v>
      </c>
      <c r="BY96" s="155">
        <v>1.7829999999999999</v>
      </c>
      <c r="BZ96" s="155">
        <v>51</v>
      </c>
      <c r="CA96" s="167">
        <v>15.845000000000001</v>
      </c>
    </row>
    <row r="97" spans="1:79">
      <c r="A97" s="132"/>
      <c r="B97" s="160" t="s">
        <v>150</v>
      </c>
      <c r="C97" s="134"/>
      <c r="D97" s="135"/>
      <c r="E97" s="136"/>
      <c r="F97" s="137"/>
      <c r="G97" s="137"/>
      <c r="H97" s="137"/>
      <c r="I97" s="137"/>
      <c r="J97" s="137"/>
      <c r="K97" s="138"/>
      <c r="L97" s="139"/>
      <c r="M97" s="140"/>
      <c r="N97" s="154">
        <f>0.1+0.056</f>
        <v>0.156</v>
      </c>
      <c r="O97" s="155">
        <f>10.795+0.605</f>
        <v>11.4</v>
      </c>
      <c r="P97" s="155"/>
      <c r="Q97" s="155"/>
      <c r="R97" s="162">
        <v>8</v>
      </c>
      <c r="S97" s="163">
        <v>1.6200864619999999</v>
      </c>
      <c r="T97" s="163"/>
      <c r="U97" s="163"/>
      <c r="V97" s="163">
        <v>1.1999999999999999E-3</v>
      </c>
      <c r="W97" s="161">
        <v>2.9340000000000002</v>
      </c>
      <c r="X97" s="162"/>
      <c r="Y97" s="161"/>
      <c r="Z97" s="162">
        <v>0.16500000000000001</v>
      </c>
      <c r="AA97" s="164">
        <f t="shared" si="8"/>
        <v>53.441561999999998</v>
      </c>
      <c r="AB97" s="161">
        <v>53.575151999999996</v>
      </c>
      <c r="AC97" s="162">
        <f>0.258+0.001</f>
        <v>0.25900000000000001</v>
      </c>
      <c r="AD97" s="161">
        <f>251.528+1.528</f>
        <v>253.05599999999998</v>
      </c>
      <c r="AE97" s="162"/>
      <c r="AF97" s="161"/>
      <c r="AG97" s="162">
        <v>3.8999999999999998E-3</v>
      </c>
      <c r="AH97" s="161">
        <v>5.8483997680000002</v>
      </c>
      <c r="AI97" s="162"/>
      <c r="AJ97" s="163"/>
      <c r="AK97" s="162"/>
      <c r="AL97" s="161"/>
      <c r="AM97" s="162">
        <v>4</v>
      </c>
      <c r="AN97" s="161">
        <v>10.554616595500001</v>
      </c>
      <c r="AO97" s="162">
        <v>1</v>
      </c>
      <c r="AP97" s="161">
        <v>7.1136520000000001</v>
      </c>
      <c r="AQ97" s="165">
        <v>17</v>
      </c>
      <c r="AR97" s="166">
        <v>280.98746938800002</v>
      </c>
      <c r="AS97" s="162">
        <v>1.112E-2</v>
      </c>
      <c r="AT97" s="161">
        <v>34.605757321499993</v>
      </c>
      <c r="AU97" s="162"/>
      <c r="AV97" s="167"/>
      <c r="AW97" s="168"/>
      <c r="AX97" s="168"/>
      <c r="AY97" s="168"/>
      <c r="AZ97" s="162">
        <v>2</v>
      </c>
      <c r="BA97" s="161">
        <v>22.016002099999998</v>
      </c>
      <c r="BB97" s="169"/>
      <c r="BC97" s="170">
        <v>34.349048699999997</v>
      </c>
      <c r="BD97" s="153">
        <f t="shared" si="7"/>
        <v>759.55818433499996</v>
      </c>
      <c r="BE97" s="154">
        <f t="shared" si="5"/>
        <v>8.8379999999999992</v>
      </c>
      <c r="BF97" s="155">
        <f t="shared" si="6"/>
        <v>16.812000000000001</v>
      </c>
      <c r="BG97" s="149">
        <f t="shared" si="9"/>
        <v>15.848000000000001</v>
      </c>
      <c r="BH97" s="154"/>
      <c r="BI97" s="155"/>
      <c r="BJ97" s="155"/>
      <c r="BK97" s="155"/>
      <c r="BL97" s="155"/>
      <c r="BM97" s="155"/>
      <c r="BN97" s="155"/>
      <c r="BO97" s="155"/>
      <c r="BP97" s="171"/>
      <c r="BQ97" s="155"/>
      <c r="BR97" s="155">
        <v>9</v>
      </c>
      <c r="BS97" s="167">
        <v>8.8379999999999992</v>
      </c>
      <c r="BT97" s="154">
        <v>2E-3</v>
      </c>
      <c r="BU97" s="155">
        <v>0.20300000000000001</v>
      </c>
      <c r="BV97" s="155">
        <v>3</v>
      </c>
      <c r="BW97" s="155">
        <v>0.76100000000000001</v>
      </c>
      <c r="BX97" s="159"/>
      <c r="BY97" s="155"/>
      <c r="BZ97" s="155">
        <v>88</v>
      </c>
      <c r="CA97" s="167">
        <v>15.848000000000001</v>
      </c>
    </row>
    <row r="98" spans="1:79">
      <c r="A98" s="132"/>
      <c r="B98" s="160" t="s">
        <v>151</v>
      </c>
      <c r="C98" s="134"/>
      <c r="D98" s="135"/>
      <c r="E98" s="136"/>
      <c r="F98" s="137"/>
      <c r="G98" s="137"/>
      <c r="H98" s="137"/>
      <c r="I98" s="137"/>
      <c r="J98" s="137"/>
      <c r="K98" s="138"/>
      <c r="L98" s="139"/>
      <c r="M98" s="140"/>
      <c r="N98" s="154">
        <f>0.001+0.004+0.025+0.03</f>
        <v>0.06</v>
      </c>
      <c r="O98" s="155">
        <f>9.714+2.348+2.699+6.874</f>
        <v>21.635000000000002</v>
      </c>
      <c r="P98" s="155">
        <v>5.0000000000000001E-3</v>
      </c>
      <c r="Q98" s="155">
        <v>3.0340275000000005</v>
      </c>
      <c r="R98" s="162"/>
      <c r="S98" s="163"/>
      <c r="T98" s="163"/>
      <c r="U98" s="163"/>
      <c r="V98" s="163"/>
      <c r="W98" s="161"/>
      <c r="X98" s="162"/>
      <c r="Y98" s="161"/>
      <c r="Z98" s="162">
        <v>7.4999999999999997E-3</v>
      </c>
      <c r="AA98" s="164">
        <f t="shared" si="8"/>
        <v>1.2430191394499999</v>
      </c>
      <c r="AB98" s="161">
        <v>1.37660913945</v>
      </c>
      <c r="AC98" s="162"/>
      <c r="AD98" s="161"/>
      <c r="AE98" s="162"/>
      <c r="AF98" s="161"/>
      <c r="AG98" s="162"/>
      <c r="AH98" s="161"/>
      <c r="AI98" s="162"/>
      <c r="AJ98" s="163"/>
      <c r="AK98" s="162"/>
      <c r="AL98" s="161"/>
      <c r="AM98" s="162">
        <v>1</v>
      </c>
      <c r="AN98" s="161">
        <v>1.5109999999999999</v>
      </c>
      <c r="AO98" s="162"/>
      <c r="AP98" s="161"/>
      <c r="AQ98" s="165">
        <v>2</v>
      </c>
      <c r="AR98" s="166">
        <v>2.3358464400000001</v>
      </c>
      <c r="AS98" s="162"/>
      <c r="AT98" s="161"/>
      <c r="AU98" s="162"/>
      <c r="AV98" s="167"/>
      <c r="AW98" s="168"/>
      <c r="AX98" s="168"/>
      <c r="AY98" s="168"/>
      <c r="AZ98" s="162">
        <v>2</v>
      </c>
      <c r="BA98" s="161">
        <f>5.07722+4.183</f>
        <v>9.2602200000000003</v>
      </c>
      <c r="BB98" s="169"/>
      <c r="BC98" s="170">
        <v>4.083516038</v>
      </c>
      <c r="BD98" s="153">
        <f t="shared" si="7"/>
        <v>123.61992211745</v>
      </c>
      <c r="BE98" s="154">
        <f t="shared" si="5"/>
        <v>29.308703000000001</v>
      </c>
      <c r="BF98" s="155">
        <f t="shared" si="6"/>
        <v>33.781000000000006</v>
      </c>
      <c r="BG98" s="149">
        <f t="shared" si="9"/>
        <v>17.294</v>
      </c>
      <c r="BH98" s="154"/>
      <c r="BI98" s="155"/>
      <c r="BJ98" s="155"/>
      <c r="BK98" s="155"/>
      <c r="BL98" s="155">
        <v>2.8999999999999998E-3</v>
      </c>
      <c r="BM98" s="155">
        <v>2.4217029999999999</v>
      </c>
      <c r="BN98" s="155">
        <v>1.2E-2</v>
      </c>
      <c r="BO98" s="155">
        <v>13.398</v>
      </c>
      <c r="BP98" s="171"/>
      <c r="BQ98" s="155"/>
      <c r="BR98" s="155">
        <v>16</v>
      </c>
      <c r="BS98" s="167">
        <v>13.489000000000001</v>
      </c>
      <c r="BT98" s="154">
        <v>6.8000000000000005E-2</v>
      </c>
      <c r="BU98" s="155">
        <v>16.251000000000001</v>
      </c>
      <c r="BV98" s="155">
        <v>1</v>
      </c>
      <c r="BW98" s="155">
        <v>0.23599999999999999</v>
      </c>
      <c r="BX98" s="159"/>
      <c r="BY98" s="155"/>
      <c r="BZ98" s="155">
        <v>88</v>
      </c>
      <c r="CA98" s="167">
        <v>17.294</v>
      </c>
    </row>
    <row r="99" spans="1:79">
      <c r="A99" s="132"/>
      <c r="B99" s="160" t="s">
        <v>152</v>
      </c>
      <c r="C99" s="134"/>
      <c r="D99" s="135"/>
      <c r="E99" s="136"/>
      <c r="F99" s="137"/>
      <c r="G99" s="137"/>
      <c r="H99" s="137"/>
      <c r="I99" s="137"/>
      <c r="J99" s="137"/>
      <c r="K99" s="138"/>
      <c r="L99" s="139"/>
      <c r="M99" s="140"/>
      <c r="N99" s="154"/>
      <c r="O99" s="155"/>
      <c r="P99" s="155"/>
      <c r="Q99" s="155"/>
      <c r="R99" s="162">
        <v>6</v>
      </c>
      <c r="S99" s="163">
        <v>1.9743270960000001</v>
      </c>
      <c r="T99" s="163"/>
      <c r="U99" s="163"/>
      <c r="V99" s="163"/>
      <c r="W99" s="161"/>
      <c r="X99" s="162"/>
      <c r="Y99" s="161"/>
      <c r="Z99" s="162">
        <v>3.8E-3</v>
      </c>
      <c r="AA99" s="164">
        <f t="shared" si="8"/>
        <v>0.37629242769000004</v>
      </c>
      <c r="AB99" s="161">
        <v>0.50988242769000003</v>
      </c>
      <c r="AC99" s="162"/>
      <c r="AD99" s="161"/>
      <c r="AE99" s="162"/>
      <c r="AF99" s="161"/>
      <c r="AG99" s="162"/>
      <c r="AH99" s="161"/>
      <c r="AI99" s="162">
        <v>3</v>
      </c>
      <c r="AJ99" s="163">
        <v>2.430706614</v>
      </c>
      <c r="AK99" s="162"/>
      <c r="AL99" s="161"/>
      <c r="AM99" s="162">
        <v>2</v>
      </c>
      <c r="AN99" s="161">
        <v>6.8554908000000001</v>
      </c>
      <c r="AO99" s="162">
        <v>1</v>
      </c>
      <c r="AP99" s="161">
        <v>27.403188552</v>
      </c>
      <c r="AQ99" s="165">
        <v>11</v>
      </c>
      <c r="AR99" s="166">
        <v>1.60772991</v>
      </c>
      <c r="AS99" s="162"/>
      <c r="AT99" s="161"/>
      <c r="AU99" s="162"/>
      <c r="AV99" s="167"/>
      <c r="AW99" s="168"/>
      <c r="AX99" s="168">
        <v>1</v>
      </c>
      <c r="AY99" s="168">
        <v>7.146432495</v>
      </c>
      <c r="AZ99" s="162"/>
      <c r="BA99" s="161"/>
      <c r="BB99" s="169"/>
      <c r="BC99" s="170">
        <v>1.20655859276</v>
      </c>
      <c r="BD99" s="153">
        <f t="shared" si="7"/>
        <v>74.683150297449998</v>
      </c>
      <c r="BE99" s="154">
        <f t="shared" si="5"/>
        <v>8.5168338099999996</v>
      </c>
      <c r="BF99" s="155">
        <f t="shared" si="6"/>
        <v>8.59</v>
      </c>
      <c r="BG99" s="149">
        <f t="shared" si="9"/>
        <v>8.4420000000000002</v>
      </c>
      <c r="BH99" s="154"/>
      <c r="BI99" s="155"/>
      <c r="BJ99" s="155">
        <v>1E-3</v>
      </c>
      <c r="BK99" s="155">
        <v>1.1478338100000001</v>
      </c>
      <c r="BL99" s="155"/>
      <c r="BM99" s="155"/>
      <c r="BN99" s="155"/>
      <c r="BO99" s="155"/>
      <c r="BP99" s="171"/>
      <c r="BQ99" s="155"/>
      <c r="BR99" s="155">
        <v>9</v>
      </c>
      <c r="BS99" s="155">
        <v>7.3689999999999998</v>
      </c>
      <c r="BT99" s="174"/>
      <c r="BU99" s="155"/>
      <c r="BV99" s="155">
        <v>1</v>
      </c>
      <c r="BW99" s="155">
        <v>0.14799999999999999</v>
      </c>
      <c r="BX99" s="159"/>
      <c r="BY99" s="155"/>
      <c r="BZ99" s="155">
        <v>58</v>
      </c>
      <c r="CA99" s="167">
        <v>8.4420000000000002</v>
      </c>
    </row>
    <row r="100" spans="1:79">
      <c r="A100" s="132"/>
      <c r="B100" s="160" t="s">
        <v>153</v>
      </c>
      <c r="C100" s="134"/>
      <c r="D100" s="135"/>
      <c r="E100" s="136"/>
      <c r="F100" s="137"/>
      <c r="G100" s="137"/>
      <c r="H100" s="137"/>
      <c r="I100" s="137"/>
      <c r="J100" s="137"/>
      <c r="K100" s="138"/>
      <c r="L100" s="139"/>
      <c r="M100" s="140"/>
      <c r="N100" s="154">
        <f>0.01+0.006</f>
        <v>1.6E-2</v>
      </c>
      <c r="O100" s="155">
        <f>5.87+4.741</f>
        <v>10.611000000000001</v>
      </c>
      <c r="P100" s="155"/>
      <c r="Q100" s="155"/>
      <c r="R100" s="162"/>
      <c r="S100" s="163"/>
      <c r="T100" s="163"/>
      <c r="U100" s="163"/>
      <c r="V100" s="163"/>
      <c r="W100" s="161"/>
      <c r="X100" s="162"/>
      <c r="Y100" s="161"/>
      <c r="Z100" s="162">
        <f>0.014+0.005</f>
        <v>1.9E-2</v>
      </c>
      <c r="AA100" s="164">
        <f t="shared" si="8"/>
        <v>2.2818360393999999</v>
      </c>
      <c r="AB100" s="161">
        <v>2.4154260393999998</v>
      </c>
      <c r="AC100" s="162"/>
      <c r="AD100" s="161"/>
      <c r="AE100" s="162"/>
      <c r="AF100" s="161"/>
      <c r="AG100" s="162"/>
      <c r="AH100" s="161"/>
      <c r="AI100" s="162"/>
      <c r="AJ100" s="163"/>
      <c r="AK100" s="162"/>
      <c r="AL100" s="161"/>
      <c r="AM100" s="162"/>
      <c r="AN100" s="161"/>
      <c r="AO100" s="162"/>
      <c r="AP100" s="161"/>
      <c r="AQ100" s="165">
        <v>3</v>
      </c>
      <c r="AR100" s="166">
        <v>0.2634282</v>
      </c>
      <c r="AS100" s="162"/>
      <c r="AT100" s="161"/>
      <c r="AU100" s="162"/>
      <c r="AV100" s="167"/>
      <c r="AW100" s="168"/>
      <c r="AX100" s="168"/>
      <c r="AY100" s="168"/>
      <c r="AZ100" s="162"/>
      <c r="BA100" s="161"/>
      <c r="BB100" s="169"/>
      <c r="BC100" s="170">
        <v>8.3628337079999984</v>
      </c>
      <c r="BD100" s="153">
        <f t="shared" si="7"/>
        <v>213.4820353474</v>
      </c>
      <c r="BE100" s="154">
        <f t="shared" si="5"/>
        <v>118.4353474</v>
      </c>
      <c r="BF100" s="155">
        <f t="shared" si="6"/>
        <v>42.160000000000004</v>
      </c>
      <c r="BG100" s="149">
        <f t="shared" si="9"/>
        <v>31.234000000000002</v>
      </c>
      <c r="BH100" s="154">
        <v>3.4499999999999999E-3</v>
      </c>
      <c r="BI100" s="155">
        <v>2.1693474000000004</v>
      </c>
      <c r="BJ100" s="155"/>
      <c r="BK100" s="155"/>
      <c r="BL100" s="155"/>
      <c r="BM100" s="155"/>
      <c r="BN100" s="155">
        <v>3.0000000000000001E-3</v>
      </c>
      <c r="BO100" s="155">
        <v>2.7690000000000001</v>
      </c>
      <c r="BP100" s="171"/>
      <c r="BQ100" s="155"/>
      <c r="BR100" s="175">
        <v>79</v>
      </c>
      <c r="BS100" s="176">
        <v>113.497</v>
      </c>
      <c r="BT100" s="174">
        <v>4.1000000000000002E-2</v>
      </c>
      <c r="BU100" s="155">
        <v>10.394</v>
      </c>
      <c r="BV100" s="155">
        <v>3</v>
      </c>
      <c r="BW100" s="155">
        <v>0.53200000000000003</v>
      </c>
      <c r="BX100" s="159"/>
      <c r="BY100" s="155"/>
      <c r="BZ100" s="155">
        <v>185</v>
      </c>
      <c r="CA100" s="167">
        <v>31.234000000000002</v>
      </c>
    </row>
    <row r="101" spans="1:79">
      <c r="A101" s="132"/>
      <c r="B101" s="160" t="s">
        <v>154</v>
      </c>
      <c r="C101" s="134"/>
      <c r="D101" s="135"/>
      <c r="E101" s="136"/>
      <c r="F101" s="137"/>
      <c r="G101" s="137"/>
      <c r="H101" s="137"/>
      <c r="I101" s="137"/>
      <c r="J101" s="137"/>
      <c r="K101" s="138"/>
      <c r="L101" s="139"/>
      <c r="M101" s="140"/>
      <c r="N101" s="154"/>
      <c r="O101" s="155"/>
      <c r="P101" s="155">
        <v>1.55E-2</v>
      </c>
      <c r="Q101" s="155">
        <v>5.1617970763000001</v>
      </c>
      <c r="R101" s="162"/>
      <c r="S101" s="163"/>
      <c r="T101" s="163"/>
      <c r="U101" s="163"/>
      <c r="V101" s="163"/>
      <c r="W101" s="161"/>
      <c r="X101" s="162"/>
      <c r="Y101" s="161"/>
      <c r="Z101" s="162">
        <v>2.0999999999999998E-2</v>
      </c>
      <c r="AA101" s="164">
        <f t="shared" si="8"/>
        <v>2.4250695518400001</v>
      </c>
      <c r="AB101" s="161">
        <v>2.5586595518399999</v>
      </c>
      <c r="AC101" s="162">
        <v>2.3999999999999998E-3</v>
      </c>
      <c r="AD101" s="161">
        <v>0.14208666667199998</v>
      </c>
      <c r="AE101" s="162"/>
      <c r="AF101" s="161"/>
      <c r="AG101" s="162"/>
      <c r="AH101" s="161"/>
      <c r="AI101" s="162"/>
      <c r="AJ101" s="163"/>
      <c r="AK101" s="162"/>
      <c r="AL101" s="161"/>
      <c r="AM101" s="162">
        <v>3</v>
      </c>
      <c r="AN101" s="161">
        <v>5.5190264899999999</v>
      </c>
      <c r="AO101" s="162"/>
      <c r="AP101" s="161"/>
      <c r="AQ101" s="165"/>
      <c r="AR101" s="166"/>
      <c r="AS101" s="162"/>
      <c r="AT101" s="161"/>
      <c r="AU101" s="162"/>
      <c r="AV101" s="167"/>
      <c r="AW101" s="168"/>
      <c r="AX101" s="168"/>
      <c r="AY101" s="168"/>
      <c r="AZ101" s="162"/>
      <c r="BA101" s="161"/>
      <c r="BB101" s="169"/>
      <c r="BC101" s="170">
        <v>1.1476171399999999</v>
      </c>
      <c r="BD101" s="153">
        <f t="shared" si="7"/>
        <v>59.757235443191995</v>
      </c>
      <c r="BE101" s="154">
        <f t="shared" si="5"/>
        <v>11.807048518379998</v>
      </c>
      <c r="BF101" s="155">
        <f t="shared" si="6"/>
        <v>19.408000000000001</v>
      </c>
      <c r="BG101" s="149">
        <f t="shared" si="9"/>
        <v>14.013</v>
      </c>
      <c r="BH101" s="154">
        <v>3.3999999999999998E-3</v>
      </c>
      <c r="BI101" s="155">
        <v>3.2000485183799996</v>
      </c>
      <c r="BJ101" s="155"/>
      <c r="BK101" s="155"/>
      <c r="BL101" s="155"/>
      <c r="BM101" s="155"/>
      <c r="BN101" s="155"/>
      <c r="BO101" s="155"/>
      <c r="BP101" s="171"/>
      <c r="BQ101" s="155"/>
      <c r="BR101" s="175">
        <v>8</v>
      </c>
      <c r="BS101" s="176">
        <v>8.6069999999999993</v>
      </c>
      <c r="BT101" s="174">
        <v>2.1000000000000001E-2</v>
      </c>
      <c r="BU101" s="155">
        <v>5.2469999999999999</v>
      </c>
      <c r="BV101" s="155">
        <v>1</v>
      </c>
      <c r="BW101" s="155">
        <v>0.14799999999999999</v>
      </c>
      <c r="BX101" s="159"/>
      <c r="BY101" s="155"/>
      <c r="BZ101" s="155">
        <v>61</v>
      </c>
      <c r="CA101" s="167">
        <v>14.013</v>
      </c>
    </row>
    <row r="102" spans="1:79">
      <c r="A102" s="132"/>
      <c r="B102" s="160" t="s">
        <v>155</v>
      </c>
      <c r="C102" s="134"/>
      <c r="D102" s="135"/>
      <c r="E102" s="136"/>
      <c r="F102" s="137"/>
      <c r="G102" s="137"/>
      <c r="H102" s="137"/>
      <c r="I102" s="137"/>
      <c r="J102" s="137"/>
      <c r="K102" s="138"/>
      <c r="L102" s="139"/>
      <c r="M102" s="140"/>
      <c r="N102" s="154">
        <f>0.009+0.04</f>
        <v>4.9000000000000002E-2</v>
      </c>
      <c r="O102" s="155">
        <f>17.714+2.399</f>
        <v>20.113</v>
      </c>
      <c r="P102" s="155"/>
      <c r="Q102" s="155"/>
      <c r="R102" s="162">
        <v>1</v>
      </c>
      <c r="S102" s="163">
        <v>8.7809399999999996E-2</v>
      </c>
      <c r="T102" s="163">
        <v>4</v>
      </c>
      <c r="U102" s="163">
        <v>0.37739289852000002</v>
      </c>
      <c r="V102" s="163"/>
      <c r="W102" s="161"/>
      <c r="X102" s="162"/>
      <c r="Y102" s="161"/>
      <c r="Z102" s="162">
        <v>1E-3</v>
      </c>
      <c r="AA102" s="164"/>
      <c r="AB102" s="161">
        <v>0.12267663000000001</v>
      </c>
      <c r="AC102" s="162"/>
      <c r="AD102" s="161"/>
      <c r="AE102" s="162"/>
      <c r="AF102" s="161"/>
      <c r="AG102" s="162"/>
      <c r="AH102" s="161"/>
      <c r="AI102" s="162">
        <v>12</v>
      </c>
      <c r="AJ102" s="163">
        <v>9.722826456</v>
      </c>
      <c r="AK102" s="162"/>
      <c r="AL102" s="161"/>
      <c r="AM102" s="162">
        <v>1</v>
      </c>
      <c r="AN102" s="161">
        <v>1.4624532290000001</v>
      </c>
      <c r="AO102" s="162"/>
      <c r="AP102" s="161"/>
      <c r="AQ102" s="165">
        <v>5</v>
      </c>
      <c r="AR102" s="166">
        <v>1.450251733</v>
      </c>
      <c r="AS102" s="162"/>
      <c r="AT102" s="161"/>
      <c r="AU102" s="162"/>
      <c r="AV102" s="167"/>
      <c r="AW102" s="168"/>
      <c r="AX102" s="168"/>
      <c r="AY102" s="168"/>
      <c r="AZ102" s="162"/>
      <c r="BA102" s="161"/>
      <c r="BB102" s="169"/>
      <c r="BC102" s="170">
        <v>2.0774572873199997</v>
      </c>
      <c r="BD102" s="153">
        <f t="shared" si="7"/>
        <v>148.79573278184</v>
      </c>
      <c r="BE102" s="154">
        <f t="shared" si="5"/>
        <v>53.470865148000001</v>
      </c>
      <c r="BF102" s="155">
        <f t="shared" si="6"/>
        <v>37.704000000000001</v>
      </c>
      <c r="BG102" s="149">
        <f t="shared" si="9"/>
        <v>22.207000000000001</v>
      </c>
      <c r="BH102" s="154"/>
      <c r="BI102" s="155"/>
      <c r="BJ102" s="155">
        <v>4.0000000000000001E-3</v>
      </c>
      <c r="BK102" s="155">
        <v>3.8358651479999999</v>
      </c>
      <c r="BL102" s="155"/>
      <c r="BM102" s="155"/>
      <c r="BN102" s="155">
        <v>7.0000000000000001E-3</v>
      </c>
      <c r="BO102" s="155">
        <v>9.3179999999999996</v>
      </c>
      <c r="BP102" s="171"/>
      <c r="BQ102" s="155"/>
      <c r="BR102" s="175">
        <v>28</v>
      </c>
      <c r="BS102" s="176">
        <v>40.317</v>
      </c>
      <c r="BT102" s="174">
        <v>4.3999999999999997E-2</v>
      </c>
      <c r="BU102" s="155">
        <v>11.321999999999999</v>
      </c>
      <c r="BV102" s="155">
        <v>6</v>
      </c>
      <c r="BW102" s="155">
        <v>1.595</v>
      </c>
      <c r="BX102" s="159">
        <v>1</v>
      </c>
      <c r="BY102" s="155">
        <v>2.58</v>
      </c>
      <c r="BZ102" s="155">
        <v>140</v>
      </c>
      <c r="CA102" s="167">
        <v>22.207000000000001</v>
      </c>
    </row>
    <row r="103" spans="1:79">
      <c r="A103" s="132"/>
      <c r="B103" s="173" t="s">
        <v>156</v>
      </c>
      <c r="C103" s="134"/>
      <c r="D103" s="135"/>
      <c r="E103" s="136"/>
      <c r="F103" s="137"/>
      <c r="G103" s="137"/>
      <c r="H103" s="137"/>
      <c r="I103" s="137"/>
      <c r="J103" s="137"/>
      <c r="K103" s="138"/>
      <c r="L103" s="139"/>
      <c r="M103" s="140"/>
      <c r="N103" s="154"/>
      <c r="O103" s="155"/>
      <c r="P103" s="155"/>
      <c r="Q103" s="155"/>
      <c r="R103" s="162"/>
      <c r="S103" s="163"/>
      <c r="T103" s="163"/>
      <c r="U103" s="163"/>
      <c r="V103" s="163"/>
      <c r="W103" s="161"/>
      <c r="X103" s="162"/>
      <c r="Y103" s="161"/>
      <c r="Z103" s="162"/>
      <c r="AA103" s="164"/>
      <c r="AB103" s="161"/>
      <c r="AC103" s="162"/>
      <c r="AD103" s="161"/>
      <c r="AE103" s="162"/>
      <c r="AF103" s="161"/>
      <c r="AG103" s="162"/>
      <c r="AH103" s="161"/>
      <c r="AI103" s="162">
        <v>9</v>
      </c>
      <c r="AJ103" s="163">
        <v>7.1648601390000008</v>
      </c>
      <c r="AK103" s="162"/>
      <c r="AL103" s="161"/>
      <c r="AM103" s="162">
        <v>1</v>
      </c>
      <c r="AN103" s="161">
        <v>1.706386908</v>
      </c>
      <c r="AO103" s="162"/>
      <c r="AP103" s="161"/>
      <c r="AQ103" s="165">
        <v>1</v>
      </c>
      <c r="AR103" s="166">
        <v>0.40086369999999999</v>
      </c>
      <c r="AS103" s="162">
        <v>3.0000000000000001E-3</v>
      </c>
      <c r="AT103" s="161">
        <v>4.3600082699999998</v>
      </c>
      <c r="AU103" s="162"/>
      <c r="AV103" s="167"/>
      <c r="AW103" s="168"/>
      <c r="AX103" s="168">
        <v>1</v>
      </c>
      <c r="AY103" s="168">
        <v>14.839253855199999</v>
      </c>
      <c r="AZ103" s="162"/>
      <c r="BA103" s="161"/>
      <c r="BB103" s="169"/>
      <c r="BC103" s="170">
        <v>1.345371724</v>
      </c>
      <c r="BD103" s="153">
        <f t="shared" si="7"/>
        <v>67.523489396200006</v>
      </c>
      <c r="BE103" s="154">
        <f t="shared" si="5"/>
        <v>14.8757448</v>
      </c>
      <c r="BF103" s="155">
        <f t="shared" si="6"/>
        <v>14.225</v>
      </c>
      <c r="BG103" s="149">
        <f t="shared" si="9"/>
        <v>8.6059999999999999</v>
      </c>
      <c r="BH103" s="154"/>
      <c r="BI103" s="155"/>
      <c r="BJ103" s="155"/>
      <c r="BK103" s="155"/>
      <c r="BL103" s="155">
        <v>1E-3</v>
      </c>
      <c r="BM103" s="155">
        <v>0.98882500000000007</v>
      </c>
      <c r="BN103" s="155"/>
      <c r="BO103" s="155"/>
      <c r="BP103" s="171">
        <v>1</v>
      </c>
      <c r="BQ103" s="155">
        <v>3.8239198000000001</v>
      </c>
      <c r="BR103" s="155">
        <v>7</v>
      </c>
      <c r="BS103" s="155">
        <v>10.063000000000001</v>
      </c>
      <c r="BT103" s="174">
        <v>0.02</v>
      </c>
      <c r="BU103" s="155">
        <v>5.1459999999999999</v>
      </c>
      <c r="BV103" s="155">
        <v>2</v>
      </c>
      <c r="BW103" s="155">
        <v>0.47299999999999998</v>
      </c>
      <c r="BX103" s="159"/>
      <c r="BY103" s="155"/>
      <c r="BZ103" s="155">
        <v>39</v>
      </c>
      <c r="CA103" s="167">
        <v>8.6059999999999999</v>
      </c>
    </row>
    <row r="104" spans="1:79">
      <c r="A104" s="132"/>
      <c r="B104" s="160" t="s">
        <v>157</v>
      </c>
      <c r="C104" s="134"/>
      <c r="D104" s="135"/>
      <c r="E104" s="136"/>
      <c r="F104" s="137"/>
      <c r="G104" s="137"/>
      <c r="H104" s="137"/>
      <c r="I104" s="137"/>
      <c r="J104" s="137"/>
      <c r="K104" s="138"/>
      <c r="L104" s="139"/>
      <c r="M104" s="140"/>
      <c r="N104" s="154">
        <v>1.2E-2</v>
      </c>
      <c r="O104" s="155">
        <v>6.2190000000000003</v>
      </c>
      <c r="P104" s="155"/>
      <c r="Q104" s="155"/>
      <c r="R104" s="162"/>
      <c r="S104" s="163"/>
      <c r="T104" s="163"/>
      <c r="U104" s="163"/>
      <c r="V104" s="163"/>
      <c r="W104" s="161"/>
      <c r="X104" s="162"/>
      <c r="Y104" s="161"/>
      <c r="Z104" s="162">
        <v>1.5E-3</v>
      </c>
      <c r="AA104" s="164">
        <f t="shared" si="8"/>
        <v>9.9460383000000013E-2</v>
      </c>
      <c r="AB104" s="161">
        <v>0.233050383</v>
      </c>
      <c r="AC104" s="162"/>
      <c r="AD104" s="161"/>
      <c r="AE104" s="162"/>
      <c r="AF104" s="161"/>
      <c r="AG104" s="162"/>
      <c r="AH104" s="161"/>
      <c r="AI104" s="162">
        <v>6</v>
      </c>
      <c r="AJ104" s="163">
        <v>3.9605879999999996</v>
      </c>
      <c r="AK104" s="162"/>
      <c r="AL104" s="161"/>
      <c r="AM104" s="162"/>
      <c r="AN104" s="161"/>
      <c r="AO104" s="162"/>
      <c r="AP104" s="161"/>
      <c r="AQ104" s="165"/>
      <c r="AR104" s="166"/>
      <c r="AS104" s="162"/>
      <c r="AT104" s="161"/>
      <c r="AU104" s="162"/>
      <c r="AV104" s="167"/>
      <c r="AW104" s="168"/>
      <c r="AX104" s="168"/>
      <c r="AY104" s="168"/>
      <c r="AZ104" s="162"/>
      <c r="BA104" s="161"/>
      <c r="BB104" s="169"/>
      <c r="BC104" s="170">
        <v>2.4095862960000001</v>
      </c>
      <c r="BD104" s="153">
        <f t="shared" si="7"/>
        <v>82.584749395849997</v>
      </c>
      <c r="BE104" s="154">
        <f t="shared" si="5"/>
        <v>19.654524716849998</v>
      </c>
      <c r="BF104" s="155">
        <f t="shared" si="6"/>
        <v>35.99</v>
      </c>
      <c r="BG104" s="149">
        <f t="shared" si="9"/>
        <v>14.118</v>
      </c>
      <c r="BH104" s="154"/>
      <c r="BI104" s="155"/>
      <c r="BJ104" s="155">
        <v>2.5000000000000001E-3</v>
      </c>
      <c r="BK104" s="155">
        <v>2.2825247168499998</v>
      </c>
      <c r="BL104" s="155"/>
      <c r="BM104" s="155"/>
      <c r="BN104" s="155">
        <v>4.0000000000000001E-3</v>
      </c>
      <c r="BO104" s="155">
        <v>2.218</v>
      </c>
      <c r="BP104" s="171"/>
      <c r="BQ104" s="155"/>
      <c r="BR104" s="155">
        <v>11</v>
      </c>
      <c r="BS104" s="155">
        <v>15.154</v>
      </c>
      <c r="BT104" s="174">
        <v>8.5000000000000006E-2</v>
      </c>
      <c r="BU104" s="155">
        <v>21.872</v>
      </c>
      <c r="BV104" s="155"/>
      <c r="BW104" s="155"/>
      <c r="BX104" s="159"/>
      <c r="BY104" s="155"/>
      <c r="BZ104" s="155">
        <v>60</v>
      </c>
      <c r="CA104" s="167">
        <v>14.118</v>
      </c>
    </row>
    <row r="105" spans="1:79">
      <c r="A105" s="132"/>
      <c r="B105" s="160" t="s">
        <v>158</v>
      </c>
      <c r="C105" s="134"/>
      <c r="D105" s="135"/>
      <c r="E105" s="136"/>
      <c r="F105" s="137"/>
      <c r="G105" s="137"/>
      <c r="H105" s="137"/>
      <c r="I105" s="137"/>
      <c r="J105" s="137"/>
      <c r="K105" s="138"/>
      <c r="L105" s="139"/>
      <c r="M105" s="140"/>
      <c r="N105" s="154">
        <v>0.12</v>
      </c>
      <c r="O105" s="155">
        <v>7.1144999999999996</v>
      </c>
      <c r="P105" s="155"/>
      <c r="Q105" s="155"/>
      <c r="R105" s="162"/>
      <c r="S105" s="163"/>
      <c r="T105" s="163">
        <v>36</v>
      </c>
      <c r="U105" s="163">
        <v>18.498932819999997</v>
      </c>
      <c r="V105" s="163"/>
      <c r="W105" s="161"/>
      <c r="X105" s="162"/>
      <c r="Y105" s="161"/>
      <c r="Z105" s="162">
        <v>2E-3</v>
      </c>
      <c r="AA105" s="164">
        <f t="shared" si="8"/>
        <v>7.5538498000000037E-2</v>
      </c>
      <c r="AB105" s="161">
        <v>0.20912849800000002</v>
      </c>
      <c r="AC105" s="162"/>
      <c r="AD105" s="161"/>
      <c r="AE105" s="162"/>
      <c r="AF105" s="161"/>
      <c r="AG105" s="162"/>
      <c r="AH105" s="161"/>
      <c r="AI105" s="162">
        <v>11</v>
      </c>
      <c r="AJ105" s="163">
        <v>6.8268295850000005</v>
      </c>
      <c r="AK105" s="162"/>
      <c r="AL105" s="161"/>
      <c r="AM105" s="162">
        <v>1</v>
      </c>
      <c r="AN105" s="161">
        <v>2.7619739999999999</v>
      </c>
      <c r="AO105" s="162"/>
      <c r="AP105" s="161"/>
      <c r="AQ105" s="165">
        <v>9</v>
      </c>
      <c r="AR105" s="166">
        <v>0.79059869999999999</v>
      </c>
      <c r="AS105" s="162"/>
      <c r="AT105" s="161"/>
      <c r="AU105" s="162"/>
      <c r="AV105" s="167"/>
      <c r="AW105" s="168"/>
      <c r="AX105" s="168"/>
      <c r="AY105" s="168"/>
      <c r="AZ105" s="162"/>
      <c r="BA105" s="161"/>
      <c r="BB105" s="169"/>
      <c r="BC105" s="170">
        <v>0.30459466699999999</v>
      </c>
      <c r="BD105" s="153">
        <f t="shared" si="7"/>
        <v>104.259449905</v>
      </c>
      <c r="BE105" s="154">
        <f t="shared" si="5"/>
        <v>40.092891635000001</v>
      </c>
      <c r="BF105" s="155">
        <f t="shared" si="6"/>
        <v>17.747</v>
      </c>
      <c r="BG105" s="149">
        <f t="shared" si="9"/>
        <v>9.9130000000000003</v>
      </c>
      <c r="BH105" s="154"/>
      <c r="BI105" s="155"/>
      <c r="BJ105" s="155">
        <v>5.0000000000000001E-3</v>
      </c>
      <c r="BK105" s="155">
        <v>4.7948314349999999</v>
      </c>
      <c r="BL105" s="155">
        <v>4.0000000000000001E-3</v>
      </c>
      <c r="BM105" s="155">
        <v>2.9740601999999998</v>
      </c>
      <c r="BN105" s="155">
        <v>2E-3</v>
      </c>
      <c r="BO105" s="155">
        <v>0.95899999999999996</v>
      </c>
      <c r="BP105" s="171"/>
      <c r="BQ105" s="155"/>
      <c r="BR105" s="155">
        <v>28</v>
      </c>
      <c r="BS105" s="155">
        <v>31.364999999999998</v>
      </c>
      <c r="BT105" s="174">
        <v>0.02</v>
      </c>
      <c r="BU105" s="155">
        <v>5.0179999999999998</v>
      </c>
      <c r="BV105" s="155">
        <v>1</v>
      </c>
      <c r="BW105" s="155">
        <v>0.23599999999999999</v>
      </c>
      <c r="BX105" s="159">
        <v>1</v>
      </c>
      <c r="BY105" s="155">
        <v>2.58</v>
      </c>
      <c r="BZ105" s="155">
        <v>46</v>
      </c>
      <c r="CA105" s="167">
        <v>9.9130000000000003</v>
      </c>
    </row>
    <row r="106" spans="1:79">
      <c r="A106" s="132"/>
      <c r="B106" s="160" t="s">
        <v>159</v>
      </c>
      <c r="C106" s="134"/>
      <c r="D106" s="135"/>
      <c r="E106" s="136"/>
      <c r="F106" s="137"/>
      <c r="G106" s="137"/>
      <c r="H106" s="137"/>
      <c r="I106" s="137"/>
      <c r="J106" s="137"/>
      <c r="K106" s="138"/>
      <c r="L106" s="139"/>
      <c r="M106" s="140"/>
      <c r="N106" s="154"/>
      <c r="O106" s="155"/>
      <c r="P106" s="155"/>
      <c r="Q106" s="155"/>
      <c r="R106" s="162"/>
      <c r="S106" s="163"/>
      <c r="T106" s="163"/>
      <c r="U106" s="163"/>
      <c r="V106" s="163"/>
      <c r="W106" s="161"/>
      <c r="X106" s="162"/>
      <c r="Y106" s="161"/>
      <c r="Z106" s="162"/>
      <c r="AA106" s="164"/>
      <c r="AB106" s="161"/>
      <c r="AC106" s="162"/>
      <c r="AD106" s="161"/>
      <c r="AE106" s="162"/>
      <c r="AF106" s="161"/>
      <c r="AG106" s="162"/>
      <c r="AH106" s="161"/>
      <c r="AI106" s="162"/>
      <c r="AJ106" s="163"/>
      <c r="AK106" s="162"/>
      <c r="AL106" s="161"/>
      <c r="AM106" s="162"/>
      <c r="AN106" s="161"/>
      <c r="AO106" s="162"/>
      <c r="AP106" s="161"/>
      <c r="AQ106" s="165">
        <v>5</v>
      </c>
      <c r="AR106" s="166">
        <v>1.4015973721999999</v>
      </c>
      <c r="AS106" s="162"/>
      <c r="AT106" s="161"/>
      <c r="AU106" s="162"/>
      <c r="AV106" s="167"/>
      <c r="AW106" s="168"/>
      <c r="AX106" s="168"/>
      <c r="AY106" s="168"/>
      <c r="AZ106" s="162"/>
      <c r="BA106" s="161"/>
      <c r="BB106" s="169"/>
      <c r="BC106" s="170">
        <v>1.6586639999999999</v>
      </c>
      <c r="BD106" s="153">
        <f t="shared" si="7"/>
        <v>72.932333663200012</v>
      </c>
      <c r="BE106" s="154">
        <f t="shared" si="5"/>
        <v>44.438072291000005</v>
      </c>
      <c r="BF106" s="155">
        <f t="shared" si="6"/>
        <v>20.678000000000001</v>
      </c>
      <c r="BG106" s="149">
        <f t="shared" si="9"/>
        <v>4.7560000000000002</v>
      </c>
      <c r="BH106" s="154"/>
      <c r="BI106" s="155"/>
      <c r="BJ106" s="155">
        <v>6.0000000000000001E-3</v>
      </c>
      <c r="BK106" s="155">
        <v>5.5620722909999998</v>
      </c>
      <c r="BL106" s="155"/>
      <c r="BM106" s="155"/>
      <c r="BN106" s="155">
        <v>1E-3</v>
      </c>
      <c r="BO106" s="155">
        <v>0.42</v>
      </c>
      <c r="BP106" s="171"/>
      <c r="BQ106" s="155"/>
      <c r="BR106" s="155">
        <v>37</v>
      </c>
      <c r="BS106" s="167">
        <v>38.456000000000003</v>
      </c>
      <c r="BT106" s="154">
        <v>2.8000000000000001E-2</v>
      </c>
      <c r="BU106" s="155">
        <v>4.7460000000000004</v>
      </c>
      <c r="BV106" s="155">
        <v>2</v>
      </c>
      <c r="BW106" s="155">
        <v>0.48899999999999999</v>
      </c>
      <c r="BX106" s="159">
        <v>5</v>
      </c>
      <c r="BY106" s="155">
        <v>10.686999999999999</v>
      </c>
      <c r="BZ106" s="155">
        <v>20</v>
      </c>
      <c r="CA106" s="167">
        <v>4.7560000000000002</v>
      </c>
    </row>
    <row r="107" spans="1:79">
      <c r="A107" s="132"/>
      <c r="B107" s="160" t="s">
        <v>160</v>
      </c>
      <c r="C107" s="134"/>
      <c r="D107" s="135"/>
      <c r="E107" s="136"/>
      <c r="F107" s="137"/>
      <c r="G107" s="137"/>
      <c r="H107" s="137"/>
      <c r="I107" s="137"/>
      <c r="J107" s="137"/>
      <c r="K107" s="138"/>
      <c r="L107" s="139"/>
      <c r="M107" s="140"/>
      <c r="N107" s="154"/>
      <c r="O107" s="155"/>
      <c r="P107" s="155"/>
      <c r="Q107" s="155"/>
      <c r="R107" s="162"/>
      <c r="S107" s="163"/>
      <c r="T107" s="163"/>
      <c r="U107" s="163"/>
      <c r="V107" s="163"/>
      <c r="W107" s="161"/>
      <c r="X107" s="162"/>
      <c r="Y107" s="161"/>
      <c r="Z107" s="162"/>
      <c r="AA107" s="164"/>
      <c r="AB107" s="161"/>
      <c r="AC107" s="162">
        <v>1E-3</v>
      </c>
      <c r="AD107" s="161">
        <v>6.016853933E-2</v>
      </c>
      <c r="AE107" s="162"/>
      <c r="AF107" s="161"/>
      <c r="AG107" s="162"/>
      <c r="AH107" s="161"/>
      <c r="AI107" s="162"/>
      <c r="AJ107" s="163"/>
      <c r="AK107" s="162"/>
      <c r="AL107" s="161"/>
      <c r="AM107" s="162"/>
      <c r="AN107" s="161"/>
      <c r="AO107" s="162"/>
      <c r="AP107" s="161"/>
      <c r="AQ107" s="165">
        <v>46</v>
      </c>
      <c r="AR107" s="166">
        <v>7.6581937</v>
      </c>
      <c r="AS107" s="162">
        <v>8.0999999999999996E-4</v>
      </c>
      <c r="AT107" s="161">
        <v>18.871169999999999</v>
      </c>
      <c r="AU107" s="162"/>
      <c r="AV107" s="167"/>
      <c r="AW107" s="168"/>
      <c r="AX107" s="168"/>
      <c r="AY107" s="168"/>
      <c r="AZ107" s="162"/>
      <c r="BA107" s="161"/>
      <c r="BB107" s="169"/>
      <c r="BC107" s="170">
        <v>3.5416427529999996</v>
      </c>
      <c r="BD107" s="153">
        <f t="shared" si="7"/>
        <v>105.39899115821498</v>
      </c>
      <c r="BE107" s="154">
        <f t="shared" si="5"/>
        <v>49.262816165884999</v>
      </c>
      <c r="BF107" s="155">
        <f t="shared" si="6"/>
        <v>19.315000000000001</v>
      </c>
      <c r="BG107" s="149">
        <f t="shared" si="9"/>
        <v>6.69</v>
      </c>
      <c r="BH107" s="154">
        <v>5.4999999999999997E-3</v>
      </c>
      <c r="BI107" s="155">
        <v>4.161787666685</v>
      </c>
      <c r="BJ107" s="155">
        <v>1.55E-2</v>
      </c>
      <c r="BK107" s="155">
        <v>14.685440431</v>
      </c>
      <c r="BL107" s="155">
        <v>1E-3</v>
      </c>
      <c r="BM107" s="155">
        <v>0.86858806820000001</v>
      </c>
      <c r="BN107" s="155">
        <v>1E-3</v>
      </c>
      <c r="BO107" s="155">
        <v>1.6020000000000001</v>
      </c>
      <c r="BP107" s="171"/>
      <c r="BQ107" s="155"/>
      <c r="BR107" s="155">
        <v>26</v>
      </c>
      <c r="BS107" s="167">
        <v>27.945</v>
      </c>
      <c r="BT107" s="154"/>
      <c r="BU107" s="155"/>
      <c r="BV107" s="155">
        <v>2</v>
      </c>
      <c r="BW107" s="155">
        <v>0.52300000000000002</v>
      </c>
      <c r="BX107" s="159">
        <v>10</v>
      </c>
      <c r="BY107" s="155">
        <v>12.102</v>
      </c>
      <c r="BZ107" s="155">
        <v>55</v>
      </c>
      <c r="CA107" s="167">
        <v>6.69</v>
      </c>
    </row>
    <row r="108" spans="1:79">
      <c r="A108" s="132"/>
      <c r="B108" s="160" t="s">
        <v>161</v>
      </c>
      <c r="C108" s="134"/>
      <c r="D108" s="135"/>
      <c r="E108" s="136"/>
      <c r="F108" s="137"/>
      <c r="G108" s="137"/>
      <c r="H108" s="137"/>
      <c r="I108" s="137"/>
      <c r="J108" s="137"/>
      <c r="K108" s="138"/>
      <c r="L108" s="139"/>
      <c r="M108" s="140"/>
      <c r="N108" s="154"/>
      <c r="O108" s="155"/>
      <c r="P108" s="155">
        <v>1E-3</v>
      </c>
      <c r="Q108" s="155">
        <v>0.73098000000000007</v>
      </c>
      <c r="R108" s="162"/>
      <c r="S108" s="163"/>
      <c r="T108" s="163"/>
      <c r="U108" s="163"/>
      <c r="V108" s="163"/>
      <c r="W108" s="161"/>
      <c r="X108" s="162">
        <f>0.024+0.012</f>
        <v>3.6000000000000004E-2</v>
      </c>
      <c r="Y108" s="161">
        <f>15.569+3.841</f>
        <v>19.41</v>
      </c>
      <c r="Z108" s="162">
        <v>1.26E-2</v>
      </c>
      <c r="AA108" s="164">
        <f t="shared" si="8"/>
        <v>1.4813730584</v>
      </c>
      <c r="AB108" s="161">
        <v>1.6149630583999999</v>
      </c>
      <c r="AC108" s="162">
        <v>2.3099999999999999E-2</v>
      </c>
      <c r="AD108" s="161">
        <v>28.035476699999997</v>
      </c>
      <c r="AE108" s="162"/>
      <c r="AF108" s="161"/>
      <c r="AG108" s="162">
        <v>5.0000000000000001E-4</v>
      </c>
      <c r="AH108" s="161">
        <v>0.38709996499999999</v>
      </c>
      <c r="AI108" s="162">
        <v>1</v>
      </c>
      <c r="AJ108" s="163">
        <v>0.47764937499999999</v>
      </c>
      <c r="AK108" s="162"/>
      <c r="AL108" s="161"/>
      <c r="AM108" s="162">
        <v>1</v>
      </c>
      <c r="AN108" s="161">
        <v>4.168622</v>
      </c>
      <c r="AO108" s="162"/>
      <c r="AP108" s="161"/>
      <c r="AQ108" s="165">
        <v>31</v>
      </c>
      <c r="AR108" s="166">
        <v>12.767050844</v>
      </c>
      <c r="AS108" s="162"/>
      <c r="AT108" s="161"/>
      <c r="AU108" s="162"/>
      <c r="AV108" s="167"/>
      <c r="AW108" s="168"/>
      <c r="AX108" s="168"/>
      <c r="AY108" s="168"/>
      <c r="AZ108" s="162">
        <v>4</v>
      </c>
      <c r="BA108" s="161">
        <f>4.183+2.2</f>
        <v>6.383</v>
      </c>
      <c r="BB108" s="169"/>
      <c r="BC108" s="170">
        <v>3.5951612270000002</v>
      </c>
      <c r="BD108" s="153">
        <f t="shared" si="7"/>
        <v>160.93925789330001</v>
      </c>
      <c r="BE108" s="154">
        <f t="shared" si="5"/>
        <v>51.388254723900005</v>
      </c>
      <c r="BF108" s="155">
        <f t="shared" si="6"/>
        <v>21.283999999999999</v>
      </c>
      <c r="BG108" s="149">
        <f t="shared" si="9"/>
        <v>10.696999999999999</v>
      </c>
      <c r="BH108" s="154"/>
      <c r="BI108" s="155"/>
      <c r="BJ108" s="155">
        <v>1.2500000000000001E-2</v>
      </c>
      <c r="BK108" s="155">
        <v>11.987078587500001</v>
      </c>
      <c r="BL108" s="155">
        <v>2E-3</v>
      </c>
      <c r="BM108" s="155">
        <v>1.7371761364</v>
      </c>
      <c r="BN108" s="155">
        <v>8.9999999999999993E-3</v>
      </c>
      <c r="BO108" s="155">
        <v>8.8970000000000002</v>
      </c>
      <c r="BP108" s="171"/>
      <c r="BQ108" s="155"/>
      <c r="BR108" s="155">
        <v>24</v>
      </c>
      <c r="BS108" s="167">
        <v>28.766999999999999</v>
      </c>
      <c r="BT108" s="154">
        <v>2.5000000000000001E-2</v>
      </c>
      <c r="BU108" s="155">
        <v>5.407</v>
      </c>
      <c r="BV108" s="155">
        <v>7</v>
      </c>
      <c r="BW108" s="155">
        <v>1.6619999999999999</v>
      </c>
      <c r="BX108" s="159">
        <v>2</v>
      </c>
      <c r="BY108" s="155">
        <v>3.5179999999999998</v>
      </c>
      <c r="BZ108" s="155">
        <v>44</v>
      </c>
      <c r="CA108" s="167">
        <v>10.696999999999999</v>
      </c>
    </row>
    <row r="109" spans="1:79">
      <c r="A109" s="132"/>
      <c r="B109" s="160" t="s">
        <v>162</v>
      </c>
      <c r="C109" s="134"/>
      <c r="D109" s="135"/>
      <c r="E109" s="136"/>
      <c r="F109" s="137"/>
      <c r="G109" s="137"/>
      <c r="H109" s="137"/>
      <c r="I109" s="137"/>
      <c r="J109" s="137"/>
      <c r="K109" s="138"/>
      <c r="L109" s="139"/>
      <c r="M109" s="140"/>
      <c r="N109" s="154"/>
      <c r="O109" s="155"/>
      <c r="P109" s="155">
        <v>0.01</v>
      </c>
      <c r="Q109" s="155">
        <v>3.541373154</v>
      </c>
      <c r="R109" s="162"/>
      <c r="S109" s="163"/>
      <c r="T109" s="163"/>
      <c r="U109" s="163"/>
      <c r="V109" s="163"/>
      <c r="W109" s="161"/>
      <c r="X109" s="162"/>
      <c r="Y109" s="161"/>
      <c r="Z109" s="162">
        <v>4.2000000000000003E-2</v>
      </c>
      <c r="AA109" s="164">
        <f t="shared" si="8"/>
        <v>3.8787140122000006</v>
      </c>
      <c r="AB109" s="161">
        <v>4.0123040122000004</v>
      </c>
      <c r="AC109" s="162"/>
      <c r="AD109" s="161"/>
      <c r="AE109" s="162"/>
      <c r="AF109" s="161"/>
      <c r="AG109" s="162"/>
      <c r="AH109" s="161"/>
      <c r="AI109" s="162"/>
      <c r="AJ109" s="163"/>
      <c r="AK109" s="162"/>
      <c r="AL109" s="161"/>
      <c r="AM109" s="162">
        <v>1</v>
      </c>
      <c r="AN109" s="161">
        <v>3.5723172729999999</v>
      </c>
      <c r="AO109" s="162"/>
      <c r="AP109" s="161"/>
      <c r="AQ109" s="165">
        <v>1</v>
      </c>
      <c r="AR109" s="166">
        <v>0.95026569999999999</v>
      </c>
      <c r="AS109" s="162">
        <v>8.0000000000000002E-3</v>
      </c>
      <c r="AT109" s="161">
        <v>11.898589999999999</v>
      </c>
      <c r="AU109" s="162"/>
      <c r="AV109" s="167"/>
      <c r="AW109" s="168"/>
      <c r="AX109" s="168">
        <v>1</v>
      </c>
      <c r="AY109" s="168">
        <v>5.2936537000000001</v>
      </c>
      <c r="AZ109" s="162"/>
      <c r="BA109" s="161"/>
      <c r="BB109" s="169"/>
      <c r="BC109" s="170">
        <v>4.5457319800000002</v>
      </c>
      <c r="BD109" s="153">
        <f t="shared" si="7"/>
        <v>70.031910739250009</v>
      </c>
      <c r="BE109" s="154">
        <f t="shared" si="5"/>
        <v>14.317674920049999</v>
      </c>
      <c r="BF109" s="155">
        <f t="shared" si="6"/>
        <v>11.7</v>
      </c>
      <c r="BG109" s="149">
        <f t="shared" si="9"/>
        <v>10.199999999999999</v>
      </c>
      <c r="BH109" s="154"/>
      <c r="BI109" s="155"/>
      <c r="BJ109" s="155"/>
      <c r="BK109" s="155"/>
      <c r="BL109" s="155">
        <v>1.5E-3</v>
      </c>
      <c r="BM109" s="155">
        <v>1.1916749200500001</v>
      </c>
      <c r="BN109" s="155">
        <v>3.0000000000000001E-3</v>
      </c>
      <c r="BO109" s="155">
        <v>1.599</v>
      </c>
      <c r="BP109" s="171"/>
      <c r="BQ109" s="155"/>
      <c r="BR109" s="155">
        <v>13</v>
      </c>
      <c r="BS109" s="167">
        <v>11.526999999999999</v>
      </c>
      <c r="BT109" s="154">
        <v>4.0000000000000001E-3</v>
      </c>
      <c r="BU109" s="155">
        <v>1.0289999999999999</v>
      </c>
      <c r="BV109" s="155">
        <v>2</v>
      </c>
      <c r="BW109" s="155">
        <v>0.47099999999999997</v>
      </c>
      <c r="BX109" s="159"/>
      <c r="BY109" s="155"/>
      <c r="BZ109" s="155">
        <v>60</v>
      </c>
      <c r="CA109" s="167">
        <v>10.199999999999999</v>
      </c>
    </row>
    <row r="110" spans="1:79">
      <c r="A110" s="132"/>
      <c r="B110" s="160" t="s">
        <v>163</v>
      </c>
      <c r="C110" s="134"/>
      <c r="D110" s="135"/>
      <c r="E110" s="136"/>
      <c r="F110" s="137"/>
      <c r="G110" s="137"/>
      <c r="H110" s="137"/>
      <c r="I110" s="137"/>
      <c r="J110" s="137"/>
      <c r="K110" s="138"/>
      <c r="L110" s="139"/>
      <c r="M110" s="140"/>
      <c r="N110" s="154"/>
      <c r="O110" s="155"/>
      <c r="P110" s="155"/>
      <c r="Q110" s="155"/>
      <c r="R110" s="162"/>
      <c r="S110" s="163"/>
      <c r="T110" s="163"/>
      <c r="U110" s="163"/>
      <c r="V110" s="163"/>
      <c r="W110" s="161"/>
      <c r="X110" s="162"/>
      <c r="Y110" s="161"/>
      <c r="Z110" s="162">
        <v>2E-3</v>
      </c>
      <c r="AA110" s="164">
        <f t="shared" si="8"/>
        <v>5.6426414900000027E-2</v>
      </c>
      <c r="AB110" s="161">
        <v>0.19001641490000001</v>
      </c>
      <c r="AC110" s="162">
        <f>0.128+0.128+0.017</f>
        <v>0.27300000000000002</v>
      </c>
      <c r="AD110" s="161">
        <f>189.259+188.224+58.347</f>
        <v>435.82999999999993</v>
      </c>
      <c r="AE110" s="162"/>
      <c r="AF110" s="161"/>
      <c r="AG110" s="162">
        <v>6.2199999999999998E-3</v>
      </c>
      <c r="AH110" s="161">
        <v>3.72129999285572</v>
      </c>
      <c r="AI110" s="162"/>
      <c r="AJ110" s="163"/>
      <c r="AK110" s="162"/>
      <c r="AL110" s="161"/>
      <c r="AM110" s="162">
        <v>2</v>
      </c>
      <c r="AN110" s="161">
        <v>2.4870546</v>
      </c>
      <c r="AO110" s="162"/>
      <c r="AP110" s="161"/>
      <c r="AQ110" s="165">
        <v>32</v>
      </c>
      <c r="AR110" s="166">
        <v>360.56384500292313</v>
      </c>
      <c r="AS110" s="162">
        <v>2E-3</v>
      </c>
      <c r="AT110" s="161">
        <v>17.311620000000001</v>
      </c>
      <c r="AU110" s="162"/>
      <c r="AV110" s="167"/>
      <c r="AW110" s="168"/>
      <c r="AX110" s="168"/>
      <c r="AY110" s="168"/>
      <c r="AZ110" s="162"/>
      <c r="BA110" s="161"/>
      <c r="BB110" s="169"/>
      <c r="BC110" s="170">
        <v>3.2683413960000003</v>
      </c>
      <c r="BD110" s="153">
        <f t="shared" si="7"/>
        <v>893.13617740667894</v>
      </c>
      <c r="BE110" s="154">
        <f t="shared" si="5"/>
        <v>41.094999999999999</v>
      </c>
      <c r="BF110" s="155">
        <f t="shared" si="6"/>
        <v>15.618</v>
      </c>
      <c r="BG110" s="149">
        <f t="shared" si="9"/>
        <v>13.051</v>
      </c>
      <c r="BH110" s="154"/>
      <c r="BI110" s="155"/>
      <c r="BJ110" s="155"/>
      <c r="BK110" s="155"/>
      <c r="BL110" s="155"/>
      <c r="BM110" s="155"/>
      <c r="BN110" s="155">
        <v>8.0000000000000002E-3</v>
      </c>
      <c r="BO110" s="155">
        <v>6.1150000000000002</v>
      </c>
      <c r="BP110" s="171"/>
      <c r="BQ110" s="155"/>
      <c r="BR110" s="155">
        <v>29</v>
      </c>
      <c r="BS110" s="167">
        <v>34.979999999999997</v>
      </c>
      <c r="BT110" s="154"/>
      <c r="BU110" s="155"/>
      <c r="BV110" s="155">
        <v>1</v>
      </c>
      <c r="BW110" s="155">
        <v>0.23599999999999999</v>
      </c>
      <c r="BX110" s="159">
        <v>1</v>
      </c>
      <c r="BY110" s="155">
        <v>2.331</v>
      </c>
      <c r="BZ110" s="155">
        <v>85</v>
      </c>
      <c r="CA110" s="167">
        <v>13.051</v>
      </c>
    </row>
    <row r="111" spans="1:79">
      <c r="A111" s="132"/>
      <c r="B111" s="160" t="s">
        <v>164</v>
      </c>
      <c r="C111" s="134"/>
      <c r="D111" s="135"/>
      <c r="E111" s="136"/>
      <c r="F111" s="137"/>
      <c r="G111" s="137"/>
      <c r="H111" s="137"/>
      <c r="I111" s="137"/>
      <c r="J111" s="137"/>
      <c r="K111" s="138"/>
      <c r="L111" s="139"/>
      <c r="M111" s="140"/>
      <c r="N111" s="154"/>
      <c r="O111" s="155"/>
      <c r="P111" s="155">
        <v>4.2000000000000003E-2</v>
      </c>
      <c r="Q111" s="155">
        <v>3.8015424720000004</v>
      </c>
      <c r="R111" s="162"/>
      <c r="S111" s="163"/>
      <c r="T111" s="163"/>
      <c r="U111" s="163"/>
      <c r="V111" s="163"/>
      <c r="W111" s="161"/>
      <c r="X111" s="162"/>
      <c r="Y111" s="161"/>
      <c r="Z111" s="162"/>
      <c r="AA111" s="164"/>
      <c r="AB111" s="161"/>
      <c r="AC111" s="162"/>
      <c r="AD111" s="161"/>
      <c r="AE111" s="162"/>
      <c r="AF111" s="161"/>
      <c r="AG111" s="162"/>
      <c r="AH111" s="161"/>
      <c r="AI111" s="162"/>
      <c r="AJ111" s="163"/>
      <c r="AK111" s="162"/>
      <c r="AL111" s="161"/>
      <c r="AM111" s="162"/>
      <c r="AN111" s="161"/>
      <c r="AO111" s="162">
        <v>4</v>
      </c>
      <c r="AP111" s="161">
        <v>15.69603</v>
      </c>
      <c r="AQ111" s="165">
        <v>1</v>
      </c>
      <c r="AR111" s="166">
        <v>0.95009999999999994</v>
      </c>
      <c r="AS111" s="162"/>
      <c r="AT111" s="161"/>
      <c r="AU111" s="162"/>
      <c r="AV111" s="167"/>
      <c r="AW111" s="168"/>
      <c r="AX111" s="168"/>
      <c r="AY111" s="168"/>
      <c r="AZ111" s="162"/>
      <c r="BA111" s="161"/>
      <c r="BB111" s="169"/>
      <c r="BC111" s="170">
        <v>0.28595714300000002</v>
      </c>
      <c r="BD111" s="153">
        <f t="shared" si="7"/>
        <v>62.355759275399997</v>
      </c>
      <c r="BE111" s="154">
        <f t="shared" si="5"/>
        <v>18.0911296604</v>
      </c>
      <c r="BF111" s="155">
        <f t="shared" si="6"/>
        <v>13.125999999999999</v>
      </c>
      <c r="BG111" s="149">
        <f t="shared" si="9"/>
        <v>10.404999999999999</v>
      </c>
      <c r="BH111" s="154"/>
      <c r="BI111" s="155"/>
      <c r="BJ111" s="155"/>
      <c r="BK111" s="155"/>
      <c r="BL111" s="155">
        <v>4.0000000000000001E-3</v>
      </c>
      <c r="BM111" s="155">
        <v>3.1991296604000001</v>
      </c>
      <c r="BN111" s="155">
        <v>2E-3</v>
      </c>
      <c r="BO111" s="155">
        <v>1.3380000000000001</v>
      </c>
      <c r="BP111" s="171"/>
      <c r="BQ111" s="155"/>
      <c r="BR111" s="155">
        <v>14</v>
      </c>
      <c r="BS111" s="167">
        <v>13.554</v>
      </c>
      <c r="BT111" s="154"/>
      <c r="BU111" s="155"/>
      <c r="BV111" s="155">
        <v>1</v>
      </c>
      <c r="BW111" s="155">
        <v>0.24399999999999999</v>
      </c>
      <c r="BX111" s="159">
        <v>1</v>
      </c>
      <c r="BY111" s="155">
        <v>2.4769999999999999</v>
      </c>
      <c r="BZ111" s="155">
        <v>66</v>
      </c>
      <c r="CA111" s="167">
        <v>10.404999999999999</v>
      </c>
    </row>
    <row r="112" spans="1:79">
      <c r="A112" s="132"/>
      <c r="B112" s="160" t="s">
        <v>165</v>
      </c>
      <c r="C112" s="134"/>
      <c r="D112" s="135"/>
      <c r="E112" s="136"/>
      <c r="F112" s="137"/>
      <c r="G112" s="137"/>
      <c r="H112" s="137"/>
      <c r="I112" s="137"/>
      <c r="J112" s="137"/>
      <c r="K112" s="138"/>
      <c r="L112" s="139"/>
      <c r="M112" s="140"/>
      <c r="N112" s="154"/>
      <c r="O112" s="155"/>
      <c r="P112" s="155"/>
      <c r="Q112" s="155"/>
      <c r="R112" s="162"/>
      <c r="S112" s="163"/>
      <c r="T112" s="163">
        <v>6</v>
      </c>
      <c r="U112" s="163">
        <v>0.56608934778000009</v>
      </c>
      <c r="V112" s="163"/>
      <c r="W112" s="161"/>
      <c r="X112" s="162"/>
      <c r="Y112" s="161"/>
      <c r="Z112" s="162"/>
      <c r="AA112" s="164"/>
      <c r="AB112" s="161"/>
      <c r="AC112" s="162"/>
      <c r="AD112" s="161"/>
      <c r="AE112" s="162"/>
      <c r="AF112" s="161"/>
      <c r="AG112" s="162"/>
      <c r="AH112" s="161"/>
      <c r="AI112" s="162"/>
      <c r="AJ112" s="163"/>
      <c r="AK112" s="162"/>
      <c r="AL112" s="161"/>
      <c r="AM112" s="162"/>
      <c r="AN112" s="161"/>
      <c r="AO112" s="162"/>
      <c r="AP112" s="161"/>
      <c r="AQ112" s="165"/>
      <c r="AR112" s="166"/>
      <c r="AS112" s="162"/>
      <c r="AT112" s="161"/>
      <c r="AU112" s="162"/>
      <c r="AV112" s="167"/>
      <c r="AW112" s="168"/>
      <c r="AX112" s="168"/>
      <c r="AY112" s="168"/>
      <c r="AZ112" s="162"/>
      <c r="BA112" s="161"/>
      <c r="BB112" s="169"/>
      <c r="BC112" s="170"/>
      <c r="BD112" s="153">
        <f t="shared" si="7"/>
        <v>25.050089347780002</v>
      </c>
      <c r="BE112" s="154">
        <f t="shared" si="5"/>
        <v>9.8659999999999997</v>
      </c>
      <c r="BF112" s="155">
        <f t="shared" si="6"/>
        <v>9.3610000000000007</v>
      </c>
      <c r="BG112" s="149">
        <f t="shared" si="9"/>
        <v>5.2569999999999997</v>
      </c>
      <c r="BH112" s="154"/>
      <c r="BI112" s="155"/>
      <c r="BJ112" s="155"/>
      <c r="BK112" s="155"/>
      <c r="BL112" s="155"/>
      <c r="BM112" s="155"/>
      <c r="BN112" s="155"/>
      <c r="BO112" s="155"/>
      <c r="BP112" s="171"/>
      <c r="BQ112" s="155"/>
      <c r="BR112" s="155">
        <v>7</v>
      </c>
      <c r="BS112" s="167">
        <v>9.8659999999999997</v>
      </c>
      <c r="BT112" s="154">
        <v>1.4999999999999999E-2</v>
      </c>
      <c r="BU112" s="155">
        <v>3.86</v>
      </c>
      <c r="BV112" s="155">
        <v>1</v>
      </c>
      <c r="BW112" s="155">
        <v>0.24399999999999999</v>
      </c>
      <c r="BX112" s="159"/>
      <c r="BY112" s="155"/>
      <c r="BZ112" s="155">
        <v>29</v>
      </c>
      <c r="CA112" s="167">
        <v>5.2569999999999997</v>
      </c>
    </row>
    <row r="113" spans="1:79">
      <c r="A113" s="132"/>
      <c r="B113" s="133" t="s">
        <v>166</v>
      </c>
      <c r="C113" s="134"/>
      <c r="D113" s="135"/>
      <c r="E113" s="136"/>
      <c r="F113" s="137"/>
      <c r="G113" s="137"/>
      <c r="H113" s="137"/>
      <c r="I113" s="137"/>
      <c r="J113" s="137"/>
      <c r="K113" s="138"/>
      <c r="L113" s="139"/>
      <c r="M113" s="140"/>
      <c r="N113" s="154"/>
      <c r="O113" s="155"/>
      <c r="P113" s="155"/>
      <c r="Q113" s="155"/>
      <c r="R113" s="162"/>
      <c r="S113" s="163"/>
      <c r="T113" s="163"/>
      <c r="U113" s="163"/>
      <c r="V113" s="163"/>
      <c r="W113" s="161"/>
      <c r="X113" s="162"/>
      <c r="Y113" s="161"/>
      <c r="Z113" s="162">
        <v>2E-3</v>
      </c>
      <c r="AA113" s="164">
        <f t="shared" si="8"/>
        <v>7.8385714200000012E-2</v>
      </c>
      <c r="AB113" s="161">
        <v>0.2119757142</v>
      </c>
      <c r="AC113" s="162"/>
      <c r="AD113" s="161"/>
      <c r="AE113" s="162"/>
      <c r="AF113" s="161"/>
      <c r="AG113" s="162"/>
      <c r="AH113" s="161"/>
      <c r="AI113" s="162"/>
      <c r="AJ113" s="163"/>
      <c r="AK113" s="162"/>
      <c r="AL113" s="161"/>
      <c r="AM113" s="162"/>
      <c r="AN113" s="161"/>
      <c r="AO113" s="162"/>
      <c r="AP113" s="161"/>
      <c r="AQ113" s="165">
        <v>2</v>
      </c>
      <c r="AR113" s="166">
        <v>0.26530620599999999</v>
      </c>
      <c r="AS113" s="162">
        <v>3.0000000000000001E-3</v>
      </c>
      <c r="AT113" s="161">
        <v>8.4836199990000001</v>
      </c>
      <c r="AU113" s="162"/>
      <c r="AV113" s="167"/>
      <c r="AW113" s="168"/>
      <c r="AX113" s="168"/>
      <c r="AY113" s="168"/>
      <c r="AZ113" s="162">
        <v>3</v>
      </c>
      <c r="BA113" s="161">
        <f>27.182+4.153</f>
        <v>31.334999999999997</v>
      </c>
      <c r="BB113" s="169"/>
      <c r="BC113" s="170">
        <v>6.3321459628000003</v>
      </c>
      <c r="BD113" s="153">
        <f t="shared" si="7"/>
        <v>117.73508967795</v>
      </c>
      <c r="BE113" s="154">
        <f t="shared" si="5"/>
        <v>25.856041795949999</v>
      </c>
      <c r="BF113" s="155">
        <f t="shared" si="6"/>
        <v>34.441000000000003</v>
      </c>
      <c r="BG113" s="149">
        <f t="shared" si="9"/>
        <v>10.81</v>
      </c>
      <c r="BH113" s="154"/>
      <c r="BI113" s="155"/>
      <c r="BJ113" s="155">
        <v>1.5E-3</v>
      </c>
      <c r="BK113" s="155">
        <v>1.1530417959500001</v>
      </c>
      <c r="BL113" s="155"/>
      <c r="BM113" s="155"/>
      <c r="BN113" s="155">
        <v>3.0000000000000001E-3</v>
      </c>
      <c r="BO113" s="155">
        <v>1.599</v>
      </c>
      <c r="BP113" s="171"/>
      <c r="BQ113" s="155"/>
      <c r="BR113" s="155">
        <v>21</v>
      </c>
      <c r="BS113" s="167">
        <v>23.103999999999999</v>
      </c>
      <c r="BT113" s="154">
        <v>0.09</v>
      </c>
      <c r="BU113" s="155">
        <v>23.158000000000001</v>
      </c>
      <c r="BV113" s="155">
        <v>2</v>
      </c>
      <c r="BW113" s="155">
        <v>0.47299999999999998</v>
      </c>
      <c r="BX113" s="159"/>
      <c r="BY113" s="155"/>
      <c r="BZ113" s="155">
        <v>50</v>
      </c>
      <c r="CA113" s="167">
        <v>10.81</v>
      </c>
    </row>
    <row r="114" spans="1:79">
      <c r="A114" s="132"/>
      <c r="B114" s="160" t="s">
        <v>167</v>
      </c>
      <c r="C114" s="134"/>
      <c r="D114" s="135"/>
      <c r="E114" s="136"/>
      <c r="F114" s="137"/>
      <c r="G114" s="137"/>
      <c r="H114" s="137"/>
      <c r="I114" s="137"/>
      <c r="J114" s="137"/>
      <c r="K114" s="138"/>
      <c r="L114" s="139"/>
      <c r="M114" s="140"/>
      <c r="N114" s="154"/>
      <c r="O114" s="155"/>
      <c r="P114" s="155"/>
      <c r="Q114" s="155"/>
      <c r="R114" s="162"/>
      <c r="S114" s="163"/>
      <c r="T114" s="163"/>
      <c r="U114" s="163"/>
      <c r="V114" s="163"/>
      <c r="W114" s="161"/>
      <c r="X114" s="162"/>
      <c r="Y114" s="161"/>
      <c r="Z114" s="162"/>
      <c r="AA114" s="164"/>
      <c r="AB114" s="161"/>
      <c r="AC114" s="162">
        <v>4.2000000000000003E-2</v>
      </c>
      <c r="AD114" s="161">
        <v>135.018</v>
      </c>
      <c r="AE114" s="162"/>
      <c r="AF114" s="161"/>
      <c r="AG114" s="162">
        <v>1.7399999999999999E-2</v>
      </c>
      <c r="AH114" s="161">
        <v>62.161816488599996</v>
      </c>
      <c r="AI114" s="162">
        <v>8</v>
      </c>
      <c r="AJ114" s="163">
        <v>3.4276630400000001</v>
      </c>
      <c r="AK114" s="162">
        <v>1.15E-2</v>
      </c>
      <c r="AL114" s="161">
        <v>16.913699416499998</v>
      </c>
      <c r="AM114" s="162">
        <v>2</v>
      </c>
      <c r="AN114" s="161">
        <v>21.648582964999985</v>
      </c>
      <c r="AO114" s="162"/>
      <c r="AP114" s="161"/>
      <c r="AQ114" s="165">
        <v>6</v>
      </c>
      <c r="AR114" s="166">
        <v>5.9924081640000004</v>
      </c>
      <c r="AS114" s="162"/>
      <c r="AT114" s="161"/>
      <c r="AU114" s="162"/>
      <c r="AV114" s="167"/>
      <c r="AW114" s="168"/>
      <c r="AX114" s="168"/>
      <c r="AY114" s="168"/>
      <c r="AZ114" s="162"/>
      <c r="BA114" s="161"/>
      <c r="BB114" s="169"/>
      <c r="BC114" s="170">
        <v>1.90381</v>
      </c>
      <c r="BD114" s="153">
        <f t="shared" si="7"/>
        <v>260.95798007409996</v>
      </c>
      <c r="BE114" s="154">
        <f t="shared" si="5"/>
        <v>4.5919999999999996</v>
      </c>
      <c r="BF114" s="155">
        <f t="shared" si="6"/>
        <v>6.3569999999999993</v>
      </c>
      <c r="BG114" s="149">
        <f t="shared" si="9"/>
        <v>2.9430000000000001</v>
      </c>
      <c r="BH114" s="154"/>
      <c r="BI114" s="155"/>
      <c r="BJ114" s="155"/>
      <c r="BK114" s="155"/>
      <c r="BL114" s="155"/>
      <c r="BM114" s="155"/>
      <c r="BN114" s="155">
        <v>6.0000000000000001E-3</v>
      </c>
      <c r="BO114" s="155">
        <v>4.016</v>
      </c>
      <c r="BP114" s="171"/>
      <c r="BQ114" s="155"/>
      <c r="BR114" s="155">
        <v>1</v>
      </c>
      <c r="BS114" s="167">
        <v>0.57599999999999996</v>
      </c>
      <c r="BT114" s="154">
        <v>7.0000000000000001E-3</v>
      </c>
      <c r="BU114" s="155">
        <v>2.3239999999999998</v>
      </c>
      <c r="BV114" s="155">
        <v>4</v>
      </c>
      <c r="BW114" s="155">
        <v>1.0900000000000001</v>
      </c>
      <c r="BX114" s="159"/>
      <c r="BY114" s="155"/>
      <c r="BZ114" s="155">
        <v>21</v>
      </c>
      <c r="CA114" s="167">
        <v>2.9430000000000001</v>
      </c>
    </row>
    <row r="115" spans="1:79">
      <c r="A115" s="132"/>
      <c r="B115" s="160" t="s">
        <v>168</v>
      </c>
      <c r="C115" s="134"/>
      <c r="D115" s="135"/>
      <c r="E115" s="136"/>
      <c r="F115" s="137"/>
      <c r="G115" s="137"/>
      <c r="H115" s="137"/>
      <c r="I115" s="137"/>
      <c r="J115" s="137"/>
      <c r="K115" s="138"/>
      <c r="L115" s="139"/>
      <c r="M115" s="140"/>
      <c r="N115" s="154"/>
      <c r="O115" s="155"/>
      <c r="P115" s="155"/>
      <c r="Q115" s="155"/>
      <c r="R115" s="162"/>
      <c r="S115" s="163"/>
      <c r="T115" s="163"/>
      <c r="U115" s="163"/>
      <c r="V115" s="163"/>
      <c r="W115" s="161"/>
      <c r="X115" s="162"/>
      <c r="Y115" s="161"/>
      <c r="Z115" s="162"/>
      <c r="AA115" s="164"/>
      <c r="AB115" s="161"/>
      <c r="AC115" s="162">
        <v>4.3999999999999997E-2</v>
      </c>
      <c r="AD115" s="161">
        <v>109.654</v>
      </c>
      <c r="AE115" s="162"/>
      <c r="AF115" s="161"/>
      <c r="AG115" s="162"/>
      <c r="AH115" s="161"/>
      <c r="AI115" s="162"/>
      <c r="AJ115" s="163"/>
      <c r="AK115" s="162"/>
      <c r="AL115" s="161"/>
      <c r="AM115" s="162"/>
      <c r="AN115" s="161"/>
      <c r="AO115" s="162"/>
      <c r="AP115" s="161"/>
      <c r="AQ115" s="165"/>
      <c r="AR115" s="166"/>
      <c r="AS115" s="162"/>
      <c r="AT115" s="161"/>
      <c r="AU115" s="162"/>
      <c r="AV115" s="167"/>
      <c r="AW115" s="168"/>
      <c r="AX115" s="168"/>
      <c r="AY115" s="168"/>
      <c r="AZ115" s="162"/>
      <c r="BA115" s="161"/>
      <c r="BB115" s="169"/>
      <c r="BC115" s="170"/>
      <c r="BD115" s="153">
        <f t="shared" si="7"/>
        <v>113.93199999999999</v>
      </c>
      <c r="BE115" s="154">
        <f t="shared" si="5"/>
        <v>0.73399999999999999</v>
      </c>
      <c r="BF115" s="155">
        <f t="shared" si="6"/>
        <v>1.964</v>
      </c>
      <c r="BG115" s="149">
        <f t="shared" si="9"/>
        <v>1.58</v>
      </c>
      <c r="BH115" s="154"/>
      <c r="BI115" s="155"/>
      <c r="BJ115" s="155"/>
      <c r="BK115" s="155"/>
      <c r="BL115" s="155"/>
      <c r="BM115" s="155"/>
      <c r="BN115" s="155"/>
      <c r="BO115" s="155"/>
      <c r="BP115" s="171"/>
      <c r="BQ115" s="155"/>
      <c r="BR115" s="155">
        <v>1</v>
      </c>
      <c r="BS115" s="167">
        <v>0.73399999999999999</v>
      </c>
      <c r="BT115" s="154"/>
      <c r="BU115" s="155"/>
      <c r="BV115" s="155">
        <v>2</v>
      </c>
      <c r="BW115" s="155">
        <v>0.38400000000000001</v>
      </c>
      <c r="BX115" s="159"/>
      <c r="BY115" s="155"/>
      <c r="BZ115" s="155">
        <v>13</v>
      </c>
      <c r="CA115" s="167">
        <v>1.58</v>
      </c>
    </row>
    <row r="116" spans="1:79">
      <c r="A116" s="132"/>
      <c r="B116" s="160" t="s">
        <v>169</v>
      </c>
      <c r="C116" s="134"/>
      <c r="D116" s="135"/>
      <c r="E116" s="136"/>
      <c r="F116" s="137"/>
      <c r="G116" s="137"/>
      <c r="H116" s="137"/>
      <c r="I116" s="137"/>
      <c r="J116" s="137"/>
      <c r="K116" s="138"/>
      <c r="L116" s="139"/>
      <c r="M116" s="140"/>
      <c r="N116" s="154"/>
      <c r="O116" s="155"/>
      <c r="P116" s="155"/>
      <c r="Q116" s="155"/>
      <c r="R116" s="162"/>
      <c r="S116" s="163"/>
      <c r="T116" s="163"/>
      <c r="U116" s="163"/>
      <c r="V116" s="163"/>
      <c r="W116" s="161"/>
      <c r="X116" s="162"/>
      <c r="Y116" s="161"/>
      <c r="Z116" s="162"/>
      <c r="AA116" s="164"/>
      <c r="AB116" s="161"/>
      <c r="AC116" s="162">
        <v>4.2999999999999997E-2</v>
      </c>
      <c r="AD116" s="161">
        <v>109.654</v>
      </c>
      <c r="AE116" s="162"/>
      <c r="AF116" s="161"/>
      <c r="AG116" s="162"/>
      <c r="AH116" s="161"/>
      <c r="AI116" s="162"/>
      <c r="AJ116" s="163"/>
      <c r="AK116" s="162"/>
      <c r="AL116" s="161"/>
      <c r="AM116" s="162"/>
      <c r="AN116" s="161"/>
      <c r="AO116" s="162"/>
      <c r="AP116" s="161"/>
      <c r="AQ116" s="165"/>
      <c r="AR116" s="166"/>
      <c r="AS116" s="162"/>
      <c r="AT116" s="161"/>
      <c r="AU116" s="162"/>
      <c r="AV116" s="167"/>
      <c r="AW116" s="168"/>
      <c r="AX116" s="168"/>
      <c r="AY116" s="168"/>
      <c r="AZ116" s="162"/>
      <c r="BA116" s="161"/>
      <c r="BB116" s="169"/>
      <c r="BC116" s="170">
        <v>0.53912000000000004</v>
      </c>
      <c r="BD116" s="153">
        <f t="shared" si="7"/>
        <v>116.69311999999999</v>
      </c>
      <c r="BE116" s="154">
        <f t="shared" si="5"/>
        <v>5.1369999999999996</v>
      </c>
      <c r="BF116" s="155">
        <f t="shared" si="6"/>
        <v>0.80600000000000005</v>
      </c>
      <c r="BG116" s="149">
        <f t="shared" si="9"/>
        <v>0.55700000000000005</v>
      </c>
      <c r="BH116" s="154"/>
      <c r="BI116" s="155"/>
      <c r="BJ116" s="155"/>
      <c r="BK116" s="155"/>
      <c r="BL116" s="155"/>
      <c r="BM116" s="155"/>
      <c r="BN116" s="155">
        <v>2E-3</v>
      </c>
      <c r="BO116" s="155">
        <v>1.611</v>
      </c>
      <c r="BP116" s="171"/>
      <c r="BQ116" s="155"/>
      <c r="BR116" s="155">
        <v>4</v>
      </c>
      <c r="BS116" s="167">
        <v>3.5259999999999998</v>
      </c>
      <c r="BT116" s="154">
        <v>1E-3</v>
      </c>
      <c r="BU116" s="155">
        <v>0.10100000000000001</v>
      </c>
      <c r="BV116" s="155">
        <v>1</v>
      </c>
      <c r="BW116" s="155">
        <v>0.14799999999999999</v>
      </c>
      <c r="BX116" s="159"/>
      <c r="BY116" s="155"/>
      <c r="BZ116" s="155">
        <v>4</v>
      </c>
      <c r="CA116" s="167">
        <v>0.55700000000000005</v>
      </c>
    </row>
    <row r="117" spans="1:79">
      <c r="A117" s="132"/>
      <c r="B117" s="160" t="s">
        <v>170</v>
      </c>
      <c r="C117" s="134"/>
      <c r="D117" s="135"/>
      <c r="E117" s="136"/>
      <c r="F117" s="137"/>
      <c r="G117" s="137"/>
      <c r="H117" s="137"/>
      <c r="I117" s="137"/>
      <c r="J117" s="137"/>
      <c r="K117" s="138"/>
      <c r="L117" s="139"/>
      <c r="M117" s="140"/>
      <c r="N117" s="154">
        <v>0.01</v>
      </c>
      <c r="O117" s="155">
        <v>0.6</v>
      </c>
      <c r="P117" s="155"/>
      <c r="Q117" s="155"/>
      <c r="R117" s="162"/>
      <c r="S117" s="163"/>
      <c r="T117" s="163"/>
      <c r="U117" s="163"/>
      <c r="V117" s="163"/>
      <c r="W117" s="161"/>
      <c r="X117" s="162"/>
      <c r="Y117" s="161"/>
      <c r="Z117" s="162"/>
      <c r="AA117" s="164"/>
      <c r="AB117" s="161"/>
      <c r="AC117" s="162">
        <v>4.2999999999999997E-2</v>
      </c>
      <c r="AD117" s="161">
        <v>109.654</v>
      </c>
      <c r="AE117" s="162"/>
      <c r="AF117" s="161"/>
      <c r="AG117" s="162"/>
      <c r="AH117" s="161"/>
      <c r="AI117" s="162"/>
      <c r="AJ117" s="163"/>
      <c r="AK117" s="162"/>
      <c r="AL117" s="161"/>
      <c r="AM117" s="162"/>
      <c r="AN117" s="161"/>
      <c r="AO117" s="162"/>
      <c r="AP117" s="161"/>
      <c r="AQ117" s="165"/>
      <c r="AR117" s="166"/>
      <c r="AS117" s="162"/>
      <c r="AT117" s="161"/>
      <c r="AU117" s="162"/>
      <c r="AV117" s="167"/>
      <c r="AW117" s="168"/>
      <c r="AX117" s="168"/>
      <c r="AY117" s="168"/>
      <c r="AZ117" s="162"/>
      <c r="BA117" s="161"/>
      <c r="BB117" s="169"/>
      <c r="BC117" s="170">
        <v>3.5045755429999996</v>
      </c>
      <c r="BD117" s="153">
        <f t="shared" si="7"/>
        <v>117.177575543</v>
      </c>
      <c r="BE117" s="154">
        <f t="shared" si="5"/>
        <v>1.31</v>
      </c>
      <c r="BF117" s="155">
        <f t="shared" si="6"/>
        <v>1.179</v>
      </c>
      <c r="BG117" s="149">
        <f t="shared" si="9"/>
        <v>0.93</v>
      </c>
      <c r="BH117" s="154"/>
      <c r="BI117" s="155"/>
      <c r="BJ117" s="155"/>
      <c r="BK117" s="155"/>
      <c r="BL117" s="155"/>
      <c r="BM117" s="155"/>
      <c r="BN117" s="155"/>
      <c r="BO117" s="155"/>
      <c r="BP117" s="171"/>
      <c r="BQ117" s="155"/>
      <c r="BR117" s="155">
        <v>2</v>
      </c>
      <c r="BS117" s="167">
        <v>1.31</v>
      </c>
      <c r="BT117" s="154">
        <v>1E-3</v>
      </c>
      <c r="BU117" s="155">
        <v>0.10100000000000001</v>
      </c>
      <c r="BV117" s="155">
        <v>1</v>
      </c>
      <c r="BW117" s="155">
        <v>0.14799999999999999</v>
      </c>
      <c r="BX117" s="159"/>
      <c r="BY117" s="155"/>
      <c r="BZ117" s="155">
        <v>7</v>
      </c>
      <c r="CA117" s="167">
        <v>0.93</v>
      </c>
    </row>
    <row r="118" spans="1:79">
      <c r="A118" s="132"/>
      <c r="B118" s="160" t="s">
        <v>171</v>
      </c>
      <c r="C118" s="134"/>
      <c r="D118" s="135"/>
      <c r="E118" s="136"/>
      <c r="F118" s="137"/>
      <c r="G118" s="137"/>
      <c r="H118" s="137"/>
      <c r="I118" s="137"/>
      <c r="J118" s="137"/>
      <c r="K118" s="138"/>
      <c r="L118" s="139"/>
      <c r="M118" s="140"/>
      <c r="N118" s="154"/>
      <c r="O118" s="155"/>
      <c r="P118" s="155">
        <v>5.0000000000000001E-3</v>
      </c>
      <c r="Q118" s="155">
        <v>4.1913236372</v>
      </c>
      <c r="R118" s="162"/>
      <c r="S118" s="163"/>
      <c r="T118" s="163"/>
      <c r="U118" s="163"/>
      <c r="V118" s="163">
        <v>8.9999999999999993E-3</v>
      </c>
      <c r="W118" s="161">
        <v>6.7409999999999997</v>
      </c>
      <c r="X118" s="162"/>
      <c r="Y118" s="161"/>
      <c r="Z118" s="162"/>
      <c r="AA118" s="164"/>
      <c r="AB118" s="161"/>
      <c r="AC118" s="162"/>
      <c r="AD118" s="161"/>
      <c r="AE118" s="162"/>
      <c r="AF118" s="161"/>
      <c r="AG118" s="162"/>
      <c r="AH118" s="161"/>
      <c r="AI118" s="162">
        <v>11</v>
      </c>
      <c r="AJ118" s="163">
        <v>5.2541431249999997</v>
      </c>
      <c r="AK118" s="162">
        <v>8.0000000000000002E-3</v>
      </c>
      <c r="AL118" s="161">
        <v>9.4647813309999993</v>
      </c>
      <c r="AM118" s="162">
        <v>3</v>
      </c>
      <c r="AN118" s="161">
        <v>10.570394539999999</v>
      </c>
      <c r="AO118" s="162"/>
      <c r="AP118" s="161"/>
      <c r="AQ118" s="165">
        <v>1</v>
      </c>
      <c r="AR118" s="166">
        <v>0.95009999999999994</v>
      </c>
      <c r="AS118" s="162">
        <v>1.26E-2</v>
      </c>
      <c r="AT118" s="161">
        <v>254.85228000000001</v>
      </c>
      <c r="AU118" s="162"/>
      <c r="AV118" s="167"/>
      <c r="AW118" s="168"/>
      <c r="AX118" s="168"/>
      <c r="AY118" s="168"/>
      <c r="AZ118" s="162"/>
      <c r="BA118" s="161"/>
      <c r="BB118" s="169"/>
      <c r="BC118" s="170">
        <v>7.1463069939999997</v>
      </c>
      <c r="BD118" s="153">
        <f t="shared" si="7"/>
        <v>402.52302411779999</v>
      </c>
      <c r="BE118" s="154">
        <f t="shared" si="5"/>
        <v>59.929694490599999</v>
      </c>
      <c r="BF118" s="155">
        <f t="shared" si="6"/>
        <v>27.651000000000003</v>
      </c>
      <c r="BG118" s="149">
        <f t="shared" si="9"/>
        <v>15.772</v>
      </c>
      <c r="BH118" s="154"/>
      <c r="BI118" s="155"/>
      <c r="BJ118" s="155"/>
      <c r="BK118" s="155"/>
      <c r="BL118" s="155">
        <v>6.0000000000000001E-3</v>
      </c>
      <c r="BM118" s="155">
        <v>4.7986944906</v>
      </c>
      <c r="BN118" s="155"/>
      <c r="BO118" s="155"/>
      <c r="BP118" s="171"/>
      <c r="BQ118" s="155"/>
      <c r="BR118" s="155">
        <v>36</v>
      </c>
      <c r="BS118" s="167">
        <v>55.131</v>
      </c>
      <c r="BT118" s="154"/>
      <c r="BU118" s="155"/>
      <c r="BV118" s="155">
        <v>5</v>
      </c>
      <c r="BW118" s="155">
        <v>1.6140000000000001</v>
      </c>
      <c r="BX118" s="159">
        <v>4</v>
      </c>
      <c r="BY118" s="155">
        <v>10.265000000000001</v>
      </c>
      <c r="BZ118" s="155">
        <v>103</v>
      </c>
      <c r="CA118" s="167">
        <v>15.772</v>
      </c>
    </row>
    <row r="119" spans="1:79">
      <c r="A119" s="132"/>
      <c r="B119" s="160" t="s">
        <v>172</v>
      </c>
      <c r="C119" s="134"/>
      <c r="D119" s="135"/>
      <c r="E119" s="136"/>
      <c r="F119" s="137"/>
      <c r="G119" s="137"/>
      <c r="H119" s="137"/>
      <c r="I119" s="137"/>
      <c r="J119" s="137"/>
      <c r="K119" s="138"/>
      <c r="L119" s="139"/>
      <c r="M119" s="140"/>
      <c r="N119" s="154"/>
      <c r="O119" s="155"/>
      <c r="P119" s="155"/>
      <c r="Q119" s="155"/>
      <c r="R119" s="162"/>
      <c r="S119" s="163"/>
      <c r="T119" s="163">
        <f>11+8</f>
        <v>19</v>
      </c>
      <c r="U119" s="163">
        <f>0.776+3.899</f>
        <v>4.6749999999999998</v>
      </c>
      <c r="V119" s="163"/>
      <c r="W119" s="161"/>
      <c r="X119" s="162"/>
      <c r="Y119" s="161"/>
      <c r="Z119" s="162"/>
      <c r="AA119" s="164"/>
      <c r="AB119" s="161"/>
      <c r="AC119" s="162"/>
      <c r="AD119" s="161"/>
      <c r="AE119" s="162"/>
      <c r="AF119" s="161"/>
      <c r="AG119" s="162"/>
      <c r="AH119" s="161"/>
      <c r="AI119" s="162"/>
      <c r="AJ119" s="163"/>
      <c r="AK119" s="162"/>
      <c r="AL119" s="161"/>
      <c r="AM119" s="162"/>
      <c r="AN119" s="161"/>
      <c r="AO119" s="162"/>
      <c r="AP119" s="161"/>
      <c r="AQ119" s="165">
        <v>1</v>
      </c>
      <c r="AR119" s="166">
        <v>0.25447959999999997</v>
      </c>
      <c r="AS119" s="162"/>
      <c r="AT119" s="161"/>
      <c r="AU119" s="162"/>
      <c r="AV119" s="167"/>
      <c r="AW119" s="168"/>
      <c r="AX119" s="168"/>
      <c r="AY119" s="168"/>
      <c r="AZ119" s="162"/>
      <c r="BA119" s="161"/>
      <c r="BB119" s="169"/>
      <c r="BC119" s="170">
        <v>3.2368505340000002</v>
      </c>
      <c r="BD119" s="153">
        <f t="shared" si="7"/>
        <v>49.114308090289995</v>
      </c>
      <c r="BE119" s="154">
        <f t="shared" si="5"/>
        <v>37.827977956289999</v>
      </c>
      <c r="BF119" s="155">
        <f t="shared" si="6"/>
        <v>1.6339999999999999</v>
      </c>
      <c r="BG119" s="149">
        <f t="shared" si="9"/>
        <v>1.486</v>
      </c>
      <c r="BH119" s="154"/>
      <c r="BI119" s="155"/>
      <c r="BJ119" s="155">
        <v>3.2000000000000002E-3</v>
      </c>
      <c r="BK119" s="155">
        <v>2.4551331842400002</v>
      </c>
      <c r="BL119" s="155">
        <v>1.5E-3</v>
      </c>
      <c r="BM119" s="155">
        <v>1.0948447720500001</v>
      </c>
      <c r="BN119" s="155"/>
      <c r="BO119" s="155"/>
      <c r="BP119" s="171"/>
      <c r="BQ119" s="155"/>
      <c r="BR119" s="155">
        <v>31</v>
      </c>
      <c r="BS119" s="167">
        <v>34.277999999999999</v>
      </c>
      <c r="BT119" s="154"/>
      <c r="BU119" s="155"/>
      <c r="BV119" s="155">
        <v>1</v>
      </c>
      <c r="BW119" s="155">
        <v>0.14799999999999999</v>
      </c>
      <c r="BX119" s="159"/>
      <c r="BY119" s="155"/>
      <c r="BZ119" s="155">
        <v>11</v>
      </c>
      <c r="CA119" s="167">
        <v>1.486</v>
      </c>
    </row>
    <row r="120" spans="1:79">
      <c r="A120" s="132"/>
      <c r="B120" s="160" t="s">
        <v>173</v>
      </c>
      <c r="C120" s="134"/>
      <c r="D120" s="135"/>
      <c r="E120" s="136"/>
      <c r="F120" s="137"/>
      <c r="G120" s="137"/>
      <c r="H120" s="137"/>
      <c r="I120" s="137"/>
      <c r="J120" s="137"/>
      <c r="K120" s="138"/>
      <c r="L120" s="139"/>
      <c r="M120" s="140"/>
      <c r="N120" s="154">
        <f>0.025+0.018</f>
        <v>4.2999999999999997E-2</v>
      </c>
      <c r="O120" s="155">
        <f>12.957+1.08</f>
        <v>14.037000000000001</v>
      </c>
      <c r="P120" s="155"/>
      <c r="Q120" s="155"/>
      <c r="R120" s="162">
        <v>2</v>
      </c>
      <c r="S120" s="163">
        <v>0.17561879999999999</v>
      </c>
      <c r="T120" s="163">
        <v>4</v>
      </c>
      <c r="U120" s="163">
        <v>0.36569333332000004</v>
      </c>
      <c r="V120" s="163"/>
      <c r="W120" s="161"/>
      <c r="X120" s="162"/>
      <c r="Y120" s="161"/>
      <c r="Z120" s="162"/>
      <c r="AA120" s="164"/>
      <c r="AB120" s="161"/>
      <c r="AC120" s="162"/>
      <c r="AD120" s="161"/>
      <c r="AE120" s="162"/>
      <c r="AF120" s="161"/>
      <c r="AG120" s="162"/>
      <c r="AH120" s="161"/>
      <c r="AI120" s="162"/>
      <c r="AJ120" s="163"/>
      <c r="AK120" s="162"/>
      <c r="AL120" s="161"/>
      <c r="AM120" s="162"/>
      <c r="AN120" s="161"/>
      <c r="AO120" s="162"/>
      <c r="AP120" s="161"/>
      <c r="AQ120" s="165"/>
      <c r="AR120" s="166"/>
      <c r="AS120" s="162"/>
      <c r="AT120" s="161"/>
      <c r="AU120" s="162"/>
      <c r="AV120" s="167"/>
      <c r="AW120" s="168"/>
      <c r="AX120" s="168"/>
      <c r="AY120" s="168"/>
      <c r="AZ120" s="162"/>
      <c r="BA120" s="161"/>
      <c r="BB120" s="169"/>
      <c r="BC120" s="170">
        <v>1.3929912099999999</v>
      </c>
      <c r="BD120" s="153">
        <f t="shared" si="7"/>
        <v>38.644381089420001</v>
      </c>
      <c r="BE120" s="154">
        <f>BI120+BK122+BM120+BO120+BQ120+BS120</f>
        <v>15.5710777461</v>
      </c>
      <c r="BF120" s="155">
        <f t="shared" si="6"/>
        <v>6.6930000000000005</v>
      </c>
      <c r="BG120" s="149">
        <f t="shared" si="9"/>
        <v>0.40899999999999997</v>
      </c>
      <c r="BH120" s="154"/>
      <c r="BI120" s="155"/>
      <c r="BJ120" s="177"/>
      <c r="BK120" s="177"/>
      <c r="BL120" s="155"/>
      <c r="BM120" s="155"/>
      <c r="BN120" s="155"/>
      <c r="BO120" s="155"/>
      <c r="BP120" s="171"/>
      <c r="BQ120" s="155"/>
      <c r="BR120" s="155">
        <v>13</v>
      </c>
      <c r="BS120" s="167">
        <v>10.188000000000001</v>
      </c>
      <c r="BT120" s="154">
        <v>7.2999999999999995E-2</v>
      </c>
      <c r="BU120" s="155">
        <v>5.9880000000000004</v>
      </c>
      <c r="BV120" s="155">
        <v>2</v>
      </c>
      <c r="BW120" s="155">
        <v>0.29599999999999999</v>
      </c>
      <c r="BX120" s="159"/>
      <c r="BY120" s="155"/>
      <c r="BZ120" s="155">
        <v>2</v>
      </c>
      <c r="CA120" s="167">
        <v>0.40899999999999997</v>
      </c>
    </row>
    <row r="121" spans="1:79">
      <c r="A121" s="132"/>
      <c r="B121" s="160" t="s">
        <v>174</v>
      </c>
      <c r="C121" s="134"/>
      <c r="D121" s="135"/>
      <c r="E121" s="136"/>
      <c r="F121" s="137"/>
      <c r="G121" s="137"/>
      <c r="H121" s="137"/>
      <c r="I121" s="137"/>
      <c r="J121" s="137"/>
      <c r="K121" s="138"/>
      <c r="L121" s="139"/>
      <c r="M121" s="140"/>
      <c r="N121" s="154"/>
      <c r="O121" s="155"/>
      <c r="P121" s="155"/>
      <c r="Q121" s="155"/>
      <c r="R121" s="162"/>
      <c r="S121" s="163"/>
      <c r="T121" s="163">
        <v>6</v>
      </c>
      <c r="U121" s="163">
        <v>0.54855500000000001</v>
      </c>
      <c r="V121" s="163"/>
      <c r="W121" s="161"/>
      <c r="X121" s="162"/>
      <c r="Y121" s="161"/>
      <c r="Z121" s="162"/>
      <c r="AA121" s="164"/>
      <c r="AB121" s="161"/>
      <c r="AC121" s="162"/>
      <c r="AD121" s="161"/>
      <c r="AE121" s="162"/>
      <c r="AF121" s="161"/>
      <c r="AG121" s="162"/>
      <c r="AH121" s="161"/>
      <c r="AI121" s="162"/>
      <c r="AJ121" s="163"/>
      <c r="AK121" s="162"/>
      <c r="AL121" s="161"/>
      <c r="AM121" s="162"/>
      <c r="AN121" s="161"/>
      <c r="AO121" s="162"/>
      <c r="AP121" s="161"/>
      <c r="AQ121" s="165"/>
      <c r="AR121" s="166"/>
      <c r="AS121" s="162"/>
      <c r="AT121" s="161"/>
      <c r="AU121" s="162"/>
      <c r="AV121" s="167"/>
      <c r="AW121" s="168"/>
      <c r="AX121" s="168"/>
      <c r="AY121" s="168"/>
      <c r="AZ121" s="162"/>
      <c r="BA121" s="161"/>
      <c r="BB121" s="169"/>
      <c r="BC121" s="170">
        <v>2.5123960789999997</v>
      </c>
      <c r="BD121" s="153">
        <f t="shared" si="7"/>
        <v>19.279951079</v>
      </c>
      <c r="BE121" s="154">
        <f t="shared" si="5"/>
        <v>5.9039999999999999</v>
      </c>
      <c r="BF121" s="155">
        <f t="shared" si="6"/>
        <v>6.5180000000000007</v>
      </c>
      <c r="BG121" s="149">
        <f t="shared" si="9"/>
        <v>3.7970000000000002</v>
      </c>
      <c r="BH121" s="154"/>
      <c r="BI121" s="155"/>
      <c r="BJ121" s="155"/>
      <c r="BK121" s="155"/>
      <c r="BL121" s="155"/>
      <c r="BM121" s="155"/>
      <c r="BN121" s="155"/>
      <c r="BO121" s="155"/>
      <c r="BP121" s="171"/>
      <c r="BQ121" s="155"/>
      <c r="BR121" s="155">
        <v>5</v>
      </c>
      <c r="BS121" s="167">
        <v>5.9039999999999999</v>
      </c>
      <c r="BT121" s="154"/>
      <c r="BU121" s="155"/>
      <c r="BV121" s="155">
        <v>1</v>
      </c>
      <c r="BW121" s="155">
        <v>0.24399999999999999</v>
      </c>
      <c r="BX121" s="159">
        <v>1</v>
      </c>
      <c r="BY121" s="155">
        <v>2.4769999999999999</v>
      </c>
      <c r="BZ121" s="155">
        <v>6</v>
      </c>
      <c r="CA121" s="167">
        <v>3.7970000000000002</v>
      </c>
    </row>
    <row r="122" spans="1:79">
      <c r="A122" s="132"/>
      <c r="B122" s="160" t="s">
        <v>175</v>
      </c>
      <c r="C122" s="134"/>
      <c r="D122" s="135"/>
      <c r="E122" s="136"/>
      <c r="F122" s="137"/>
      <c r="G122" s="137"/>
      <c r="H122" s="137"/>
      <c r="I122" s="137"/>
      <c r="J122" s="137"/>
      <c r="K122" s="138"/>
      <c r="L122" s="139"/>
      <c r="M122" s="140"/>
      <c r="N122" s="154"/>
      <c r="O122" s="155"/>
      <c r="P122" s="155">
        <v>3.0000000000000001E-3</v>
      </c>
      <c r="Q122" s="155">
        <v>0.271538748</v>
      </c>
      <c r="R122" s="162"/>
      <c r="S122" s="163"/>
      <c r="T122" s="163"/>
      <c r="U122" s="163"/>
      <c r="V122" s="163"/>
      <c r="W122" s="161"/>
      <c r="X122" s="162">
        <v>0.11700000000000001</v>
      </c>
      <c r="Y122" s="161">
        <v>26.325000000000003</v>
      </c>
      <c r="Z122" s="162">
        <v>8.5000000000000006E-3</v>
      </c>
      <c r="AA122" s="164">
        <f t="shared" si="8"/>
        <v>1.2058136873</v>
      </c>
      <c r="AB122" s="161">
        <v>1.3394036872999999</v>
      </c>
      <c r="AC122" s="162">
        <v>1E-3</v>
      </c>
      <c r="AD122" s="161">
        <v>1.1279999999999999</v>
      </c>
      <c r="AE122" s="162"/>
      <c r="AF122" s="161"/>
      <c r="AG122" s="162">
        <v>1.5E-3</v>
      </c>
      <c r="AH122" s="161">
        <v>4.6041966960000007</v>
      </c>
      <c r="AI122" s="162"/>
      <c r="AJ122" s="163"/>
      <c r="AK122" s="162"/>
      <c r="AL122" s="161"/>
      <c r="AM122" s="162">
        <v>4</v>
      </c>
      <c r="AN122" s="161">
        <v>8.0703064579999992</v>
      </c>
      <c r="AO122" s="162"/>
      <c r="AP122" s="161"/>
      <c r="AQ122" s="165"/>
      <c r="AR122" s="166"/>
      <c r="AS122" s="162">
        <v>1.34E-3</v>
      </c>
      <c r="AT122" s="161">
        <v>1.62630038</v>
      </c>
      <c r="AU122" s="162"/>
      <c r="AV122" s="167"/>
      <c r="AW122" s="168"/>
      <c r="AX122" s="168"/>
      <c r="AY122" s="168"/>
      <c r="AZ122" s="162"/>
      <c r="BA122" s="161"/>
      <c r="BB122" s="169"/>
      <c r="BC122" s="170">
        <v>18.118557877400001</v>
      </c>
      <c r="BD122" s="153">
        <f t="shared" si="7"/>
        <v>119.2867336779</v>
      </c>
      <c r="BE122" s="154">
        <f t="shared" si="5"/>
        <v>33.0284298312</v>
      </c>
      <c r="BF122" s="155">
        <f t="shared" si="6"/>
        <v>14.353000000000002</v>
      </c>
      <c r="BG122" s="149">
        <f t="shared" si="9"/>
        <v>10.422000000000001</v>
      </c>
      <c r="BH122" s="154">
        <v>2.5000000000000001E-3</v>
      </c>
      <c r="BI122" s="155">
        <v>4.96007</v>
      </c>
      <c r="BJ122" s="155">
        <v>5.4999999999999997E-3</v>
      </c>
      <c r="BK122" s="155">
        <v>5.3830777460999997</v>
      </c>
      <c r="BL122" s="155">
        <v>3.0000000000000001E-3</v>
      </c>
      <c r="BM122" s="155">
        <v>2.1672820851000001</v>
      </c>
      <c r="BN122" s="155">
        <v>3.0000000000000001E-3</v>
      </c>
      <c r="BO122" s="155">
        <v>1.8979999999999999</v>
      </c>
      <c r="BP122" s="171"/>
      <c r="BQ122" s="155"/>
      <c r="BR122" s="155">
        <v>13</v>
      </c>
      <c r="BS122" s="167">
        <v>18.62</v>
      </c>
      <c r="BT122" s="154"/>
      <c r="BU122" s="155"/>
      <c r="BV122" s="155">
        <v>1</v>
      </c>
      <c r="BW122" s="155">
        <v>0.24399999999999999</v>
      </c>
      <c r="BX122" s="159">
        <v>2</v>
      </c>
      <c r="BY122" s="155">
        <v>3.6869999999999998</v>
      </c>
      <c r="BZ122" s="155">
        <v>94</v>
      </c>
      <c r="CA122" s="167">
        <v>10.422000000000001</v>
      </c>
    </row>
    <row r="123" spans="1:79">
      <c r="A123" s="132"/>
      <c r="B123" s="160" t="s">
        <v>176</v>
      </c>
      <c r="C123" s="134"/>
      <c r="D123" s="135"/>
      <c r="E123" s="136"/>
      <c r="F123" s="137"/>
      <c r="G123" s="137"/>
      <c r="H123" s="137"/>
      <c r="I123" s="137"/>
      <c r="J123" s="137"/>
      <c r="K123" s="138"/>
      <c r="L123" s="139"/>
      <c r="M123" s="140"/>
      <c r="N123" s="154"/>
      <c r="O123" s="155"/>
      <c r="P123" s="155">
        <v>5.0000000000000001E-4</v>
      </c>
      <c r="Q123" s="155">
        <v>6.8295099500000012E-2</v>
      </c>
      <c r="R123" s="162"/>
      <c r="S123" s="163"/>
      <c r="T123" s="163"/>
      <c r="U123" s="163"/>
      <c r="V123" s="163"/>
      <c r="W123" s="161"/>
      <c r="X123" s="162">
        <f>0.025+0.183</f>
        <v>0.20799999999999999</v>
      </c>
      <c r="Y123" s="161">
        <f>11.471+41.175</f>
        <v>52.646000000000001</v>
      </c>
      <c r="Z123" s="162">
        <v>1.7599999999999998E-2</v>
      </c>
      <c r="AA123" s="164">
        <f t="shared" si="8"/>
        <v>2.6878574573199998</v>
      </c>
      <c r="AB123" s="161">
        <v>2.8214474573199997</v>
      </c>
      <c r="AC123" s="162">
        <f>0.001+0.021</f>
        <v>2.2000000000000002E-2</v>
      </c>
      <c r="AD123" s="161">
        <f>1.128+9.274</f>
        <v>10.401999999999999</v>
      </c>
      <c r="AE123" s="162"/>
      <c r="AF123" s="161"/>
      <c r="AG123" s="162">
        <v>1.5E-3</v>
      </c>
      <c r="AH123" s="161">
        <v>4.6041966960000007</v>
      </c>
      <c r="AI123" s="162"/>
      <c r="AJ123" s="163"/>
      <c r="AK123" s="162"/>
      <c r="AL123" s="161"/>
      <c r="AM123" s="162"/>
      <c r="AN123" s="161"/>
      <c r="AO123" s="162">
        <v>20</v>
      </c>
      <c r="AP123" s="161">
        <v>55.186806400000002</v>
      </c>
      <c r="AQ123" s="165">
        <v>1</v>
      </c>
      <c r="AR123" s="166">
        <v>0.40086369999999999</v>
      </c>
      <c r="AS123" s="162">
        <v>3.0000000000000001E-3</v>
      </c>
      <c r="AT123" s="161">
        <v>7.9100459999999995</v>
      </c>
      <c r="AU123" s="162"/>
      <c r="AV123" s="167"/>
      <c r="AW123" s="168"/>
      <c r="AX123" s="168"/>
      <c r="AY123" s="168"/>
      <c r="AZ123" s="162"/>
      <c r="BA123" s="161"/>
      <c r="BB123" s="169"/>
      <c r="BC123" s="170">
        <v>20.702772409800001</v>
      </c>
      <c r="BD123" s="153">
        <f t="shared" si="7"/>
        <v>287.05204291262004</v>
      </c>
      <c r="BE123" s="154">
        <f t="shared" si="5"/>
        <v>87.582615150000009</v>
      </c>
      <c r="BF123" s="155">
        <f t="shared" si="6"/>
        <v>26.999000000000002</v>
      </c>
      <c r="BG123" s="149">
        <f t="shared" si="9"/>
        <v>17.728000000000002</v>
      </c>
      <c r="BH123" s="154"/>
      <c r="BI123" s="155"/>
      <c r="BJ123" s="155">
        <v>5.0000000000000001E-3</v>
      </c>
      <c r="BK123" s="155">
        <v>7.5826151500000005</v>
      </c>
      <c r="BL123" s="155"/>
      <c r="BM123" s="155"/>
      <c r="BN123" s="155">
        <v>4.3999999999999997E-2</v>
      </c>
      <c r="BO123" s="155">
        <v>38.46</v>
      </c>
      <c r="BP123" s="171"/>
      <c r="BQ123" s="155"/>
      <c r="BR123" s="155">
        <v>25</v>
      </c>
      <c r="BS123" s="167">
        <v>41.54</v>
      </c>
      <c r="BT123" s="154">
        <v>1.2E-2</v>
      </c>
      <c r="BU123" s="155">
        <v>2.5950000000000002</v>
      </c>
      <c r="BV123" s="155">
        <v>6</v>
      </c>
      <c r="BW123" s="155">
        <v>1.6040000000000001</v>
      </c>
      <c r="BX123" s="159">
        <v>3</v>
      </c>
      <c r="BY123" s="155">
        <v>5.0720000000000001</v>
      </c>
      <c r="BZ123" s="155">
        <v>92</v>
      </c>
      <c r="CA123" s="167">
        <v>17.728000000000002</v>
      </c>
    </row>
    <row r="124" spans="1:79">
      <c r="A124" s="132"/>
      <c r="B124" s="160" t="s">
        <v>177</v>
      </c>
      <c r="C124" s="134"/>
      <c r="D124" s="135"/>
      <c r="E124" s="136"/>
      <c r="F124" s="137"/>
      <c r="G124" s="137"/>
      <c r="H124" s="137"/>
      <c r="I124" s="137"/>
      <c r="J124" s="137"/>
      <c r="K124" s="138"/>
      <c r="L124" s="139"/>
      <c r="M124" s="140"/>
      <c r="N124" s="154"/>
      <c r="O124" s="155"/>
      <c r="P124" s="155"/>
      <c r="Q124" s="155"/>
      <c r="R124" s="162"/>
      <c r="S124" s="163"/>
      <c r="T124" s="163"/>
      <c r="U124" s="163"/>
      <c r="V124" s="163"/>
      <c r="W124" s="161"/>
      <c r="X124" s="162">
        <v>0.3977</v>
      </c>
      <c r="Y124" s="161">
        <v>83.652995000000004</v>
      </c>
      <c r="Z124" s="162">
        <v>3.73E-2</v>
      </c>
      <c r="AA124" s="164">
        <f t="shared" si="8"/>
        <v>5.5267116645300005</v>
      </c>
      <c r="AB124" s="161">
        <v>5.6603016645300004</v>
      </c>
      <c r="AC124" s="162"/>
      <c r="AD124" s="161"/>
      <c r="AE124" s="162">
        <v>1.18E-2</v>
      </c>
      <c r="AF124" s="161">
        <v>8.8926499999999997</v>
      </c>
      <c r="AG124" s="162">
        <v>1E-3</v>
      </c>
      <c r="AH124" s="161">
        <v>1.0895109999999999</v>
      </c>
      <c r="AI124" s="162"/>
      <c r="AJ124" s="163"/>
      <c r="AK124" s="162"/>
      <c r="AL124" s="161"/>
      <c r="AM124" s="162">
        <v>1</v>
      </c>
      <c r="AN124" s="161">
        <v>1.2435273</v>
      </c>
      <c r="AO124" s="162"/>
      <c r="AP124" s="161"/>
      <c r="AQ124" s="165">
        <v>13</v>
      </c>
      <c r="AR124" s="166">
        <v>4.1805331580000002</v>
      </c>
      <c r="AS124" s="162"/>
      <c r="AT124" s="161"/>
      <c r="AU124" s="162"/>
      <c r="AV124" s="167"/>
      <c r="AW124" s="168"/>
      <c r="AX124" s="168"/>
      <c r="AY124" s="168"/>
      <c r="AZ124" s="162"/>
      <c r="BA124" s="161"/>
      <c r="BB124" s="169"/>
      <c r="BC124" s="170">
        <v>8.9380000000000006</v>
      </c>
      <c r="BD124" s="153">
        <f t="shared" si="7"/>
        <v>468.82102883172996</v>
      </c>
      <c r="BE124" s="154">
        <f t="shared" si="5"/>
        <v>286.63351070919998</v>
      </c>
      <c r="BF124" s="155">
        <f t="shared" si="6"/>
        <v>53.817999999999998</v>
      </c>
      <c r="BG124" s="149">
        <f t="shared" si="9"/>
        <v>14.712</v>
      </c>
      <c r="BH124" s="154">
        <v>1E-3</v>
      </c>
      <c r="BI124" s="155">
        <v>0.8209866857</v>
      </c>
      <c r="BJ124" s="155">
        <v>1.3000000000000001E-2</v>
      </c>
      <c r="BK124" s="155">
        <v>18.8919630595</v>
      </c>
      <c r="BL124" s="155">
        <v>0.02</v>
      </c>
      <c r="BM124" s="155">
        <v>22.852270924000003</v>
      </c>
      <c r="BN124" s="155">
        <v>6.3E-2</v>
      </c>
      <c r="BO124" s="155">
        <v>47.767000000000003</v>
      </c>
      <c r="BP124" s="171">
        <v>3</v>
      </c>
      <c r="BQ124" s="155">
        <v>6.87429004</v>
      </c>
      <c r="BR124" s="155">
        <v>113</v>
      </c>
      <c r="BS124" s="167">
        <v>189.42699999999999</v>
      </c>
      <c r="BT124" s="154">
        <v>9.6000000000000002E-2</v>
      </c>
      <c r="BU124" s="155">
        <v>30.231000000000002</v>
      </c>
      <c r="BV124" s="155">
        <v>9</v>
      </c>
      <c r="BW124" s="155">
        <v>3.0209999999999999</v>
      </c>
      <c r="BX124" s="159">
        <v>2</v>
      </c>
      <c r="BY124" s="155">
        <v>5.8540000000000001</v>
      </c>
      <c r="BZ124" s="155">
        <v>125</v>
      </c>
      <c r="CA124" s="167">
        <v>14.712</v>
      </c>
    </row>
    <row r="125" spans="1:79">
      <c r="A125" s="132"/>
      <c r="B125" s="160" t="s">
        <v>178</v>
      </c>
      <c r="C125" s="134"/>
      <c r="D125" s="135"/>
      <c r="E125" s="136"/>
      <c r="F125" s="137"/>
      <c r="G125" s="137"/>
      <c r="H125" s="137"/>
      <c r="I125" s="137"/>
      <c r="J125" s="137"/>
      <c r="K125" s="138"/>
      <c r="L125" s="139"/>
      <c r="M125" s="140"/>
      <c r="N125" s="154"/>
      <c r="O125" s="155"/>
      <c r="P125" s="155">
        <v>5.0000000000000001E-3</v>
      </c>
      <c r="Q125" s="155">
        <v>4.3140499999999999</v>
      </c>
      <c r="R125" s="162"/>
      <c r="S125" s="163"/>
      <c r="T125" s="163"/>
      <c r="U125" s="163"/>
      <c r="V125" s="163"/>
      <c r="W125" s="161"/>
      <c r="X125" s="162"/>
      <c r="Y125" s="161"/>
      <c r="Z125" s="162">
        <v>4.4200000000000003E-2</v>
      </c>
      <c r="AA125" s="164">
        <f t="shared" si="8"/>
        <v>4.8853426539999996</v>
      </c>
      <c r="AB125" s="161">
        <v>5.0189326539999994</v>
      </c>
      <c r="AC125" s="162"/>
      <c r="AD125" s="161"/>
      <c r="AE125" s="162"/>
      <c r="AF125" s="161"/>
      <c r="AG125" s="162"/>
      <c r="AH125" s="161"/>
      <c r="AI125" s="162"/>
      <c r="AJ125" s="163"/>
      <c r="AK125" s="162"/>
      <c r="AL125" s="161"/>
      <c r="AM125" s="162">
        <v>1</v>
      </c>
      <c r="AN125" s="161">
        <v>1.922123633</v>
      </c>
      <c r="AO125" s="162"/>
      <c r="AP125" s="161"/>
      <c r="AQ125" s="165">
        <v>5</v>
      </c>
      <c r="AR125" s="166">
        <v>3.8591399999999996</v>
      </c>
      <c r="AS125" s="162"/>
      <c r="AT125" s="161"/>
      <c r="AU125" s="162"/>
      <c r="AV125" s="167"/>
      <c r="AW125" s="168"/>
      <c r="AX125" s="168"/>
      <c r="AY125" s="168"/>
      <c r="AZ125" s="162"/>
      <c r="BA125" s="161"/>
      <c r="BB125" s="169"/>
      <c r="BC125" s="170">
        <v>4.1917103999999998</v>
      </c>
      <c r="BD125" s="153">
        <f t="shared" si="7"/>
        <v>168.90790612870001</v>
      </c>
      <c r="BE125" s="154">
        <f t="shared" si="5"/>
        <v>143.33994944170001</v>
      </c>
      <c r="BF125" s="155">
        <f t="shared" si="6"/>
        <v>4.7569999999999997</v>
      </c>
      <c r="BG125" s="149">
        <f t="shared" si="9"/>
        <v>1.5049999999999999</v>
      </c>
      <c r="BH125" s="154">
        <v>6.0000000000000001E-3</v>
      </c>
      <c r="BI125" s="155">
        <v>4.5237385938000001</v>
      </c>
      <c r="BJ125" s="155">
        <v>1.0500000000000001E-2</v>
      </c>
      <c r="BK125" s="155">
        <v>8.8626647669</v>
      </c>
      <c r="BL125" s="155">
        <v>3.0000000000000001E-3</v>
      </c>
      <c r="BM125" s="155">
        <v>3.024546081</v>
      </c>
      <c r="BN125" s="155">
        <v>1.2E-2</v>
      </c>
      <c r="BO125" s="155">
        <v>8.8729999999999993</v>
      </c>
      <c r="BP125" s="171"/>
      <c r="BQ125" s="155"/>
      <c r="BR125" s="155">
        <v>65</v>
      </c>
      <c r="BS125" s="167">
        <v>118.056</v>
      </c>
      <c r="BT125" s="154"/>
      <c r="BU125" s="155"/>
      <c r="BV125" s="155">
        <v>1</v>
      </c>
      <c r="BW125" s="155">
        <v>0.24399999999999999</v>
      </c>
      <c r="BX125" s="159">
        <v>1</v>
      </c>
      <c r="BY125" s="155">
        <v>3.008</v>
      </c>
      <c r="BZ125" s="155">
        <v>16</v>
      </c>
      <c r="CA125" s="167">
        <v>1.5049999999999999</v>
      </c>
    </row>
    <row r="126" spans="1:79">
      <c r="A126" s="132"/>
      <c r="B126" s="160" t="s">
        <v>179</v>
      </c>
      <c r="C126" s="134"/>
      <c r="D126" s="135"/>
      <c r="E126" s="136"/>
      <c r="F126" s="137"/>
      <c r="G126" s="137"/>
      <c r="H126" s="137"/>
      <c r="I126" s="137"/>
      <c r="J126" s="137"/>
      <c r="K126" s="138"/>
      <c r="L126" s="139"/>
      <c r="M126" s="140"/>
      <c r="N126" s="154"/>
      <c r="O126" s="155"/>
      <c r="P126" s="155">
        <v>0.01</v>
      </c>
      <c r="Q126" s="155">
        <v>4.0357533084000003</v>
      </c>
      <c r="R126" s="162"/>
      <c r="S126" s="163"/>
      <c r="T126" s="163"/>
      <c r="U126" s="163"/>
      <c r="V126" s="163"/>
      <c r="W126" s="161"/>
      <c r="X126" s="162">
        <v>0.03</v>
      </c>
      <c r="Y126" s="161">
        <v>11.082700000000001</v>
      </c>
      <c r="Z126" s="162">
        <v>3.0000000000000001E-3</v>
      </c>
      <c r="AA126" s="164">
        <f t="shared" si="8"/>
        <v>0.58267036170000008</v>
      </c>
      <c r="AB126" s="161">
        <v>0.71626036170000007</v>
      </c>
      <c r="AC126" s="162">
        <v>3.0000000000000001E-3</v>
      </c>
      <c r="AD126" s="161">
        <v>1.325</v>
      </c>
      <c r="AE126" s="162"/>
      <c r="AF126" s="161"/>
      <c r="AG126" s="162"/>
      <c r="AH126" s="161"/>
      <c r="AI126" s="162"/>
      <c r="AJ126" s="163"/>
      <c r="AK126" s="162"/>
      <c r="AL126" s="161"/>
      <c r="AM126" s="162"/>
      <c r="AN126" s="161"/>
      <c r="AO126" s="162"/>
      <c r="AP126" s="161"/>
      <c r="AQ126" s="165"/>
      <c r="AR126" s="166"/>
      <c r="AS126" s="162">
        <v>4.4999999999999997E-3</v>
      </c>
      <c r="AT126" s="161">
        <v>1.2057899998499999</v>
      </c>
      <c r="AU126" s="162"/>
      <c r="AV126" s="167"/>
      <c r="AW126" s="168"/>
      <c r="AX126" s="168">
        <v>1</v>
      </c>
      <c r="AY126" s="168">
        <v>1.7030881</v>
      </c>
      <c r="AZ126" s="162">
        <v>1</v>
      </c>
      <c r="BA126" s="161">
        <v>11.008001549999999</v>
      </c>
      <c r="BB126" s="169"/>
      <c r="BC126" s="170">
        <v>16.925999999999998</v>
      </c>
      <c r="BD126" s="153">
        <f t="shared" si="7"/>
        <v>138.50207434485</v>
      </c>
      <c r="BE126" s="154">
        <f t="shared" si="5"/>
        <v>74.598481024899996</v>
      </c>
      <c r="BF126" s="155">
        <f t="shared" si="6"/>
        <v>13.161999999999999</v>
      </c>
      <c r="BG126" s="149">
        <f t="shared" si="9"/>
        <v>2.7389999999999999</v>
      </c>
      <c r="BH126" s="154">
        <v>2.8000000000000001E-2</v>
      </c>
      <c r="BI126" s="155">
        <v>34.395208266600001</v>
      </c>
      <c r="BJ126" s="155">
        <v>1E-3</v>
      </c>
      <c r="BK126" s="155">
        <v>0.69368669950000006</v>
      </c>
      <c r="BL126" s="155">
        <v>4.0000000000000001E-3</v>
      </c>
      <c r="BM126" s="155">
        <v>2.9195860588000002</v>
      </c>
      <c r="BN126" s="155"/>
      <c r="BO126" s="155"/>
      <c r="BP126" s="171"/>
      <c r="BQ126" s="155"/>
      <c r="BR126" s="155">
        <v>29</v>
      </c>
      <c r="BS126" s="167">
        <v>36.590000000000003</v>
      </c>
      <c r="BT126" s="154"/>
      <c r="BU126" s="155"/>
      <c r="BV126" s="155">
        <v>3</v>
      </c>
      <c r="BW126" s="155">
        <v>0.63200000000000001</v>
      </c>
      <c r="BX126" s="159">
        <v>3</v>
      </c>
      <c r="BY126" s="155">
        <v>9.7910000000000004</v>
      </c>
      <c r="BZ126" s="155">
        <v>30</v>
      </c>
      <c r="CA126" s="167">
        <v>2.7389999999999999</v>
      </c>
    </row>
    <row r="127" spans="1:79">
      <c r="A127" s="132"/>
      <c r="B127" s="160" t="s">
        <v>180</v>
      </c>
      <c r="C127" s="134"/>
      <c r="D127" s="135"/>
      <c r="E127" s="136"/>
      <c r="F127" s="137"/>
      <c r="G127" s="137"/>
      <c r="H127" s="137"/>
      <c r="I127" s="137"/>
      <c r="J127" s="137"/>
      <c r="K127" s="138"/>
      <c r="L127" s="139"/>
      <c r="M127" s="140"/>
      <c r="N127" s="154"/>
      <c r="O127" s="155"/>
      <c r="P127" s="155"/>
      <c r="Q127" s="155"/>
      <c r="R127" s="162"/>
      <c r="S127" s="163"/>
      <c r="T127" s="163"/>
      <c r="U127" s="163"/>
      <c r="V127" s="163"/>
      <c r="W127" s="161"/>
      <c r="X127" s="162">
        <v>8.7999999999999995E-2</v>
      </c>
      <c r="Y127" s="161">
        <v>22.451352</v>
      </c>
      <c r="Z127" s="162">
        <v>2.6599999999999999E-2</v>
      </c>
      <c r="AA127" s="164">
        <f t="shared" si="8"/>
        <v>3.9622103323999998</v>
      </c>
      <c r="AB127" s="161">
        <v>4.0958003323999996</v>
      </c>
      <c r="AC127" s="162">
        <v>1.9E-3</v>
      </c>
      <c r="AD127" s="161">
        <v>2.2331973000000001</v>
      </c>
      <c r="AE127" s="162"/>
      <c r="AF127" s="161"/>
      <c r="AG127" s="162">
        <v>9.9570000000000006E-2</v>
      </c>
      <c r="AH127" s="161">
        <v>176.45141000000001</v>
      </c>
      <c r="AI127" s="162"/>
      <c r="AJ127" s="163"/>
      <c r="AK127" s="162">
        <v>1.5E-3</v>
      </c>
      <c r="AL127" s="161">
        <v>1.8282259995000001</v>
      </c>
      <c r="AM127" s="162"/>
      <c r="AN127" s="161"/>
      <c r="AO127" s="162"/>
      <c r="AP127" s="161"/>
      <c r="AQ127" s="165">
        <v>18</v>
      </c>
      <c r="AR127" s="166">
        <v>20.602535215384616</v>
      </c>
      <c r="AS127" s="162"/>
      <c r="AT127" s="161"/>
      <c r="AU127" s="162"/>
      <c r="AV127" s="167"/>
      <c r="AW127" s="168"/>
      <c r="AX127" s="168"/>
      <c r="AY127" s="168"/>
      <c r="AZ127" s="162"/>
      <c r="BA127" s="161"/>
      <c r="BB127" s="169"/>
      <c r="BC127" s="170">
        <v>15.59</v>
      </c>
      <c r="BD127" s="153">
        <f t="shared" si="7"/>
        <v>397.56074811728467</v>
      </c>
      <c r="BE127" s="154">
        <f t="shared" si="5"/>
        <v>117.44322726999999</v>
      </c>
      <c r="BF127" s="155">
        <f t="shared" si="6"/>
        <v>22.123000000000001</v>
      </c>
      <c r="BG127" s="149">
        <f t="shared" si="9"/>
        <v>14.742000000000001</v>
      </c>
      <c r="BH127" s="154">
        <v>1.55E-2</v>
      </c>
      <c r="BI127" s="155">
        <v>33.020620000000001</v>
      </c>
      <c r="BJ127" s="155">
        <v>8.9999999999999993E-3</v>
      </c>
      <c r="BK127" s="155">
        <v>13.648707269999999</v>
      </c>
      <c r="BL127" s="155">
        <v>3.0000000000000001E-3</v>
      </c>
      <c r="BM127" s="155">
        <v>10.0839</v>
      </c>
      <c r="BN127" s="155">
        <v>3.0000000000000001E-3</v>
      </c>
      <c r="BO127" s="155">
        <v>2.5030000000000001</v>
      </c>
      <c r="BP127" s="171"/>
      <c r="BQ127" s="155"/>
      <c r="BR127" s="155">
        <v>39</v>
      </c>
      <c r="BS127" s="167">
        <v>58.186999999999998</v>
      </c>
      <c r="BT127" s="154">
        <v>3.3000000000000002E-2</v>
      </c>
      <c r="BU127" s="155">
        <v>7.1369999999999996</v>
      </c>
      <c r="BV127" s="155">
        <v>1</v>
      </c>
      <c r="BW127" s="155">
        <v>0.24399999999999999</v>
      </c>
      <c r="BX127" s="159"/>
      <c r="BY127" s="155"/>
      <c r="BZ127" s="155">
        <v>75</v>
      </c>
      <c r="CA127" s="167">
        <v>14.742000000000001</v>
      </c>
    </row>
    <row r="128" spans="1:79">
      <c r="A128" s="132"/>
      <c r="B128" s="160" t="s">
        <v>181</v>
      </c>
      <c r="C128" s="134"/>
      <c r="D128" s="135"/>
      <c r="E128" s="136"/>
      <c r="F128" s="137"/>
      <c r="G128" s="137"/>
      <c r="H128" s="137"/>
      <c r="I128" s="137"/>
      <c r="J128" s="137"/>
      <c r="K128" s="138"/>
      <c r="L128" s="139"/>
      <c r="M128" s="140"/>
      <c r="N128" s="154"/>
      <c r="O128" s="155"/>
      <c r="P128" s="155"/>
      <c r="Q128" s="155"/>
      <c r="R128" s="162"/>
      <c r="S128" s="163"/>
      <c r="T128" s="163"/>
      <c r="U128" s="163"/>
      <c r="V128" s="163"/>
      <c r="W128" s="161"/>
      <c r="X128" s="162">
        <v>1.4999999999999999E-2</v>
      </c>
      <c r="Y128" s="161">
        <v>6.8828270700000003</v>
      </c>
      <c r="Z128" s="162">
        <v>3.0000000000000001E-3</v>
      </c>
      <c r="AA128" s="164">
        <f t="shared" si="8"/>
        <v>0.58267036170000008</v>
      </c>
      <c r="AB128" s="161">
        <v>0.71626036170000007</v>
      </c>
      <c r="AC128" s="162"/>
      <c r="AD128" s="161"/>
      <c r="AE128" s="162"/>
      <c r="AF128" s="161"/>
      <c r="AG128" s="162"/>
      <c r="AH128" s="161"/>
      <c r="AI128" s="162"/>
      <c r="AJ128" s="163"/>
      <c r="AK128" s="162"/>
      <c r="AL128" s="161"/>
      <c r="AM128" s="162">
        <v>1</v>
      </c>
      <c r="AN128" s="161">
        <v>3.6343999999999999</v>
      </c>
      <c r="AO128" s="162"/>
      <c r="AP128" s="161"/>
      <c r="AQ128" s="165">
        <v>5</v>
      </c>
      <c r="AR128" s="166">
        <v>11.532041255384616</v>
      </c>
      <c r="AS128" s="162"/>
      <c r="AT128" s="161"/>
      <c r="AU128" s="162"/>
      <c r="AV128" s="167"/>
      <c r="AW128" s="168"/>
      <c r="AX128" s="168"/>
      <c r="AY128" s="168"/>
      <c r="AZ128" s="162"/>
      <c r="BA128" s="161"/>
      <c r="BB128" s="169"/>
      <c r="BC128" s="170">
        <v>34.433999999999997</v>
      </c>
      <c r="BD128" s="153">
        <f t="shared" si="7"/>
        <v>107.46611474588461</v>
      </c>
      <c r="BE128" s="154">
        <f t="shared" si="5"/>
        <v>36.6545860588</v>
      </c>
      <c r="BF128" s="155">
        <f t="shared" si="6"/>
        <v>9.9809999999999999</v>
      </c>
      <c r="BG128" s="149">
        <f t="shared" si="9"/>
        <v>3.6309999999999998</v>
      </c>
      <c r="BH128" s="154"/>
      <c r="BI128" s="155"/>
      <c r="BJ128" s="155"/>
      <c r="BK128" s="155"/>
      <c r="BL128" s="155">
        <v>4.0000000000000001E-3</v>
      </c>
      <c r="BM128" s="155">
        <v>2.9195860588000002</v>
      </c>
      <c r="BN128" s="155"/>
      <c r="BO128" s="155"/>
      <c r="BP128" s="171"/>
      <c r="BQ128" s="155"/>
      <c r="BR128" s="155">
        <v>30</v>
      </c>
      <c r="BS128" s="167">
        <v>33.734999999999999</v>
      </c>
      <c r="BT128" s="154">
        <v>1.4999999999999999E-2</v>
      </c>
      <c r="BU128" s="155">
        <v>3.86</v>
      </c>
      <c r="BV128" s="155">
        <v>8</v>
      </c>
      <c r="BW128" s="155">
        <v>2.4900000000000002</v>
      </c>
      <c r="BX128" s="159"/>
      <c r="BY128" s="155"/>
      <c r="BZ128" s="155">
        <v>22</v>
      </c>
      <c r="CA128" s="167">
        <v>3.6309999999999998</v>
      </c>
    </row>
    <row r="129" spans="1:79">
      <c r="A129" s="132"/>
      <c r="B129" s="160" t="s">
        <v>182</v>
      </c>
      <c r="C129" s="134"/>
      <c r="D129" s="135"/>
      <c r="E129" s="136"/>
      <c r="F129" s="137"/>
      <c r="G129" s="137"/>
      <c r="H129" s="137"/>
      <c r="I129" s="137"/>
      <c r="J129" s="137"/>
      <c r="K129" s="138"/>
      <c r="L129" s="139"/>
      <c r="M129" s="140"/>
      <c r="N129" s="154">
        <v>2E-3</v>
      </c>
      <c r="O129" s="155">
        <v>12.163500000000001</v>
      </c>
      <c r="P129" s="155">
        <v>4.8500000000000001E-2</v>
      </c>
      <c r="Q129" s="155">
        <v>27.510568964000001</v>
      </c>
      <c r="R129" s="162"/>
      <c r="S129" s="163"/>
      <c r="T129" s="163"/>
      <c r="U129" s="163"/>
      <c r="V129" s="163"/>
      <c r="W129" s="161"/>
      <c r="X129" s="162">
        <v>0.33500000000000002</v>
      </c>
      <c r="Y129" s="161">
        <v>109.51533546972</v>
      </c>
      <c r="Z129" s="162">
        <v>0.19120000000000001</v>
      </c>
      <c r="AA129" s="164">
        <f t="shared" si="8"/>
        <v>45.33575930272</v>
      </c>
      <c r="AB129" s="161">
        <v>45.469349302719998</v>
      </c>
      <c r="AC129" s="162">
        <f>0.0105+0.007</f>
        <v>1.7500000000000002E-2</v>
      </c>
      <c r="AD129" s="161">
        <f>3.4480123778+0.801</f>
        <v>4.2490123777999997</v>
      </c>
      <c r="AE129" s="162">
        <v>7.4700000000000016E-2</v>
      </c>
      <c r="AF129" s="161">
        <v>19.253401739200001</v>
      </c>
      <c r="AG129" s="162">
        <v>3.0000000000000001E-3</v>
      </c>
      <c r="AH129" s="161">
        <v>2.9003419999999998</v>
      </c>
      <c r="AI129" s="162"/>
      <c r="AJ129" s="163"/>
      <c r="AK129" s="162"/>
      <c r="AL129" s="161"/>
      <c r="AM129" s="162">
        <v>3</v>
      </c>
      <c r="AN129" s="161">
        <v>6.4225384590000001</v>
      </c>
      <c r="AO129" s="162"/>
      <c r="AP129" s="161"/>
      <c r="AQ129" s="165">
        <v>19</v>
      </c>
      <c r="AR129" s="166">
        <v>24.769521006000002</v>
      </c>
      <c r="AS129" s="162"/>
      <c r="AT129" s="161"/>
      <c r="AU129" s="162"/>
      <c r="AV129" s="167"/>
      <c r="AW129" s="168"/>
      <c r="AX129" s="168"/>
      <c r="AY129" s="168"/>
      <c r="AZ129" s="162">
        <v>1</v>
      </c>
      <c r="BA129" s="161">
        <v>22.233640000000001</v>
      </c>
      <c r="BB129" s="169"/>
      <c r="BC129" s="170">
        <v>22.7</v>
      </c>
      <c r="BD129" s="153">
        <f t="shared" si="7"/>
        <v>583.33315626938997</v>
      </c>
      <c r="BE129" s="154">
        <f t="shared" si="5"/>
        <v>158.77494695095001</v>
      </c>
      <c r="BF129" s="155">
        <f t="shared" si="6"/>
        <v>85.113</v>
      </c>
      <c r="BG129" s="149">
        <f t="shared" si="9"/>
        <v>42.258000000000003</v>
      </c>
      <c r="BH129" s="154">
        <v>4.5000000000000005E-3</v>
      </c>
      <c r="BI129" s="155">
        <v>3.4598341987499999</v>
      </c>
      <c r="BJ129" s="155">
        <v>1.2500000000000001E-2</v>
      </c>
      <c r="BK129" s="155">
        <v>14.915648698200002</v>
      </c>
      <c r="BL129" s="155">
        <v>2E-3</v>
      </c>
      <c r="BM129" s="155">
        <v>2.0163640539999999</v>
      </c>
      <c r="BN129" s="155">
        <v>3.0000000000000001E-3</v>
      </c>
      <c r="BO129" s="155">
        <v>2.323</v>
      </c>
      <c r="BP129" s="171">
        <v>4</v>
      </c>
      <c r="BQ129" s="155">
        <v>5.4451000000000001</v>
      </c>
      <c r="BR129" s="155">
        <v>90</v>
      </c>
      <c r="BS129" s="167">
        <v>130.61500000000001</v>
      </c>
      <c r="BT129" s="154">
        <v>7.8E-2</v>
      </c>
      <c r="BU129" s="155">
        <v>21.335000000000001</v>
      </c>
      <c r="BV129" s="155">
        <v>17</v>
      </c>
      <c r="BW129" s="155">
        <v>3.7170000000000001</v>
      </c>
      <c r="BX129" s="159">
        <v>7</v>
      </c>
      <c r="BY129" s="155">
        <v>17.803000000000001</v>
      </c>
      <c r="BZ129" s="155">
        <v>296</v>
      </c>
      <c r="CA129" s="167">
        <v>42.258000000000003</v>
      </c>
    </row>
    <row r="130" spans="1:79">
      <c r="A130" s="132"/>
      <c r="B130" s="160" t="s">
        <v>183</v>
      </c>
      <c r="C130" s="134"/>
      <c r="D130" s="135"/>
      <c r="E130" s="136"/>
      <c r="F130" s="137"/>
      <c r="G130" s="137"/>
      <c r="H130" s="137"/>
      <c r="I130" s="137"/>
      <c r="J130" s="137"/>
      <c r="K130" s="138"/>
      <c r="L130" s="139"/>
      <c r="M130" s="140"/>
      <c r="N130" s="154"/>
      <c r="O130" s="155"/>
      <c r="P130" s="155"/>
      <c r="Q130" s="155"/>
      <c r="R130" s="162"/>
      <c r="S130" s="163"/>
      <c r="T130" s="163"/>
      <c r="U130" s="163"/>
      <c r="V130" s="163"/>
      <c r="W130" s="161"/>
      <c r="X130" s="162">
        <v>0.25619999999999998</v>
      </c>
      <c r="Y130" s="161">
        <v>57.644999999999996</v>
      </c>
      <c r="Z130" s="162"/>
      <c r="AA130" s="164"/>
      <c r="AB130" s="161"/>
      <c r="AC130" s="162"/>
      <c r="AD130" s="161"/>
      <c r="AE130" s="162"/>
      <c r="AF130" s="161"/>
      <c r="AG130" s="162"/>
      <c r="AH130" s="161"/>
      <c r="AI130" s="162"/>
      <c r="AJ130" s="163"/>
      <c r="AK130" s="162"/>
      <c r="AL130" s="161"/>
      <c r="AM130" s="162"/>
      <c r="AN130" s="161"/>
      <c r="AO130" s="162"/>
      <c r="AP130" s="161"/>
      <c r="AQ130" s="165">
        <v>16</v>
      </c>
      <c r="AR130" s="166">
        <v>25.705518599999998</v>
      </c>
      <c r="AS130" s="162">
        <v>6.0000000000000001E-3</v>
      </c>
      <c r="AT130" s="161">
        <v>1.6077199998</v>
      </c>
      <c r="AU130" s="162"/>
      <c r="AV130" s="167"/>
      <c r="AW130" s="168"/>
      <c r="AX130" s="168"/>
      <c r="AY130" s="168"/>
      <c r="AZ130" s="162"/>
      <c r="BA130" s="161"/>
      <c r="BB130" s="169"/>
      <c r="BC130" s="170">
        <v>2.0732027340000001</v>
      </c>
      <c r="BD130" s="153">
        <f t="shared" si="7"/>
        <v>160.16887322754999</v>
      </c>
      <c r="BE130" s="154">
        <f t="shared" si="5"/>
        <v>52.381431893749998</v>
      </c>
      <c r="BF130" s="155">
        <f t="shared" si="6"/>
        <v>13.397</v>
      </c>
      <c r="BG130" s="149">
        <f t="shared" si="9"/>
        <v>7.359</v>
      </c>
      <c r="BH130" s="154"/>
      <c r="BI130" s="155"/>
      <c r="BJ130" s="155">
        <v>2.5000000000000001E-3</v>
      </c>
      <c r="BK130" s="155">
        <v>2.2904318937500001</v>
      </c>
      <c r="BL130" s="155"/>
      <c r="BM130" s="155"/>
      <c r="BN130" s="155">
        <v>1E-3</v>
      </c>
      <c r="BO130" s="155">
        <v>0.441</v>
      </c>
      <c r="BP130" s="171"/>
      <c r="BQ130" s="155"/>
      <c r="BR130" s="155">
        <v>42</v>
      </c>
      <c r="BS130" s="167">
        <v>49.65</v>
      </c>
      <c r="BT130" s="154"/>
      <c r="BU130" s="155"/>
      <c r="BV130" s="155">
        <v>3</v>
      </c>
      <c r="BW130" s="155">
        <v>0.77700000000000002</v>
      </c>
      <c r="BX130" s="159">
        <v>2</v>
      </c>
      <c r="BY130" s="155">
        <v>5.2610000000000001</v>
      </c>
      <c r="BZ130" s="155">
        <v>60</v>
      </c>
      <c r="CA130" s="167">
        <v>7.359</v>
      </c>
    </row>
    <row r="131" spans="1:79">
      <c r="A131" s="132"/>
      <c r="B131" s="160" t="s">
        <v>184</v>
      </c>
      <c r="C131" s="134"/>
      <c r="D131" s="135"/>
      <c r="E131" s="136"/>
      <c r="F131" s="137"/>
      <c r="G131" s="137"/>
      <c r="H131" s="137"/>
      <c r="I131" s="137"/>
      <c r="J131" s="137"/>
      <c r="K131" s="138"/>
      <c r="L131" s="139"/>
      <c r="M131" s="140"/>
      <c r="N131" s="154"/>
      <c r="O131" s="155"/>
      <c r="P131" s="155">
        <v>5.0000000000000001E-4</v>
      </c>
      <c r="Q131" s="155">
        <v>0.23992401222000001</v>
      </c>
      <c r="R131" s="162"/>
      <c r="S131" s="163"/>
      <c r="T131" s="163"/>
      <c r="U131" s="163"/>
      <c r="V131" s="163"/>
      <c r="W131" s="161"/>
      <c r="X131" s="162"/>
      <c r="Y131" s="161"/>
      <c r="Z131" s="162"/>
      <c r="AA131" s="164"/>
      <c r="AB131" s="161"/>
      <c r="AC131" s="162"/>
      <c r="AD131" s="161"/>
      <c r="AE131" s="162">
        <v>8.0000000000000002E-3</v>
      </c>
      <c r="AF131" s="161">
        <v>5.7094300000000002</v>
      </c>
      <c r="AG131" s="162"/>
      <c r="AH131" s="161"/>
      <c r="AI131" s="162"/>
      <c r="AJ131" s="163"/>
      <c r="AK131" s="162"/>
      <c r="AL131" s="161"/>
      <c r="AM131" s="162"/>
      <c r="AN131" s="161"/>
      <c r="AO131" s="162"/>
      <c r="AP131" s="161"/>
      <c r="AQ131" s="165">
        <v>5</v>
      </c>
      <c r="AR131" s="166">
        <v>7.6239274999999997</v>
      </c>
      <c r="AS131" s="162"/>
      <c r="AT131" s="161"/>
      <c r="AU131" s="162"/>
      <c r="AV131" s="167"/>
      <c r="AW131" s="168"/>
      <c r="AX131" s="168"/>
      <c r="AY131" s="168"/>
      <c r="AZ131" s="162"/>
      <c r="BA131" s="161"/>
      <c r="BB131" s="169"/>
      <c r="BC131" s="170">
        <v>2.52850566</v>
      </c>
      <c r="BD131" s="153">
        <f t="shared" si="7"/>
        <v>58.443787172220006</v>
      </c>
      <c r="BE131" s="154">
        <f t="shared" si="5"/>
        <v>30.434999999999999</v>
      </c>
      <c r="BF131" s="155">
        <f t="shared" si="6"/>
        <v>8.7059999999999995</v>
      </c>
      <c r="BG131" s="149">
        <f t="shared" si="9"/>
        <v>3.2010000000000001</v>
      </c>
      <c r="BH131" s="154"/>
      <c r="BI131" s="155"/>
      <c r="BJ131" s="155"/>
      <c r="BK131" s="155"/>
      <c r="BL131" s="155"/>
      <c r="BM131" s="155"/>
      <c r="BN131" s="155">
        <v>1E-3</v>
      </c>
      <c r="BO131" s="155">
        <v>0.76700000000000002</v>
      </c>
      <c r="BP131" s="171"/>
      <c r="BQ131" s="155"/>
      <c r="BR131" s="155">
        <v>26</v>
      </c>
      <c r="BS131" s="167">
        <v>29.667999999999999</v>
      </c>
      <c r="BT131" s="154"/>
      <c r="BU131" s="155"/>
      <c r="BV131" s="155">
        <v>1</v>
      </c>
      <c r="BW131" s="155">
        <v>0.24399999999999999</v>
      </c>
      <c r="BX131" s="159">
        <v>2</v>
      </c>
      <c r="BY131" s="155">
        <v>5.2610000000000001</v>
      </c>
      <c r="BZ131" s="155">
        <v>23</v>
      </c>
      <c r="CA131" s="167">
        <v>3.2010000000000001</v>
      </c>
    </row>
    <row r="132" spans="1:79">
      <c r="A132" s="132"/>
      <c r="B132" s="160" t="s">
        <v>185</v>
      </c>
      <c r="C132" s="134"/>
      <c r="D132" s="135"/>
      <c r="E132" s="136"/>
      <c r="F132" s="137"/>
      <c r="G132" s="137"/>
      <c r="H132" s="137"/>
      <c r="I132" s="137"/>
      <c r="J132" s="137"/>
      <c r="K132" s="138"/>
      <c r="L132" s="139"/>
      <c r="M132" s="140"/>
      <c r="N132" s="154"/>
      <c r="O132" s="155"/>
      <c r="P132" s="155"/>
      <c r="Q132" s="155"/>
      <c r="R132" s="162"/>
      <c r="S132" s="163"/>
      <c r="T132" s="163"/>
      <c r="U132" s="163"/>
      <c r="V132" s="163"/>
      <c r="W132" s="161"/>
      <c r="X132" s="162"/>
      <c r="Y132" s="161"/>
      <c r="Z132" s="162">
        <v>0.01</v>
      </c>
      <c r="AA132" s="164">
        <f t="shared" si="8"/>
        <v>0.9120524900000001</v>
      </c>
      <c r="AB132" s="161">
        <v>1.0456424900000001</v>
      </c>
      <c r="AC132" s="162">
        <v>5.0000000000000001E-4</v>
      </c>
      <c r="AD132" s="161">
        <v>0.60682849999999999</v>
      </c>
      <c r="AE132" s="162"/>
      <c r="AF132" s="161"/>
      <c r="AG132" s="162"/>
      <c r="AH132" s="161"/>
      <c r="AI132" s="162"/>
      <c r="AJ132" s="163"/>
      <c r="AK132" s="162"/>
      <c r="AL132" s="161"/>
      <c r="AM132" s="162"/>
      <c r="AN132" s="161"/>
      <c r="AO132" s="162"/>
      <c r="AP132" s="161"/>
      <c r="AQ132" s="165">
        <v>7</v>
      </c>
      <c r="AR132" s="166">
        <v>4.6639802999999995</v>
      </c>
      <c r="AS132" s="162"/>
      <c r="AT132" s="161"/>
      <c r="AU132" s="162"/>
      <c r="AV132" s="167"/>
      <c r="AW132" s="168"/>
      <c r="AX132" s="168">
        <v>1</v>
      </c>
      <c r="AY132" s="168">
        <v>9.2140000000000004</v>
      </c>
      <c r="AZ132" s="162"/>
      <c r="BA132" s="161"/>
      <c r="BB132" s="169"/>
      <c r="BC132" s="170">
        <v>4.1744425599999992</v>
      </c>
      <c r="BD132" s="153">
        <f t="shared" si="7"/>
        <v>70.304230599909999</v>
      </c>
      <c r="BE132" s="154">
        <f t="shared" si="5"/>
        <v>29.85933674991</v>
      </c>
      <c r="BF132" s="155">
        <f t="shared" si="6"/>
        <v>12.489000000000001</v>
      </c>
      <c r="BG132" s="149">
        <f t="shared" si="9"/>
        <v>8.2509999999999994</v>
      </c>
      <c r="BH132" s="154"/>
      <c r="BI132" s="155"/>
      <c r="BJ132" s="155">
        <v>7.3000000000000001E-3</v>
      </c>
      <c r="BK132" s="155">
        <v>5.1513367499100005</v>
      </c>
      <c r="BL132" s="155"/>
      <c r="BM132" s="155"/>
      <c r="BN132" s="155">
        <v>3.0000000000000001E-3</v>
      </c>
      <c r="BO132" s="155">
        <v>1.351</v>
      </c>
      <c r="BP132" s="171"/>
      <c r="BQ132" s="155"/>
      <c r="BR132" s="155">
        <v>20</v>
      </c>
      <c r="BS132" s="167">
        <v>23.356999999999999</v>
      </c>
      <c r="BT132" s="154"/>
      <c r="BU132" s="155"/>
      <c r="BV132" s="155">
        <v>1</v>
      </c>
      <c r="BW132" s="155">
        <v>0.24399999999999999</v>
      </c>
      <c r="BX132" s="159">
        <v>2</v>
      </c>
      <c r="BY132" s="155">
        <v>3.9940000000000002</v>
      </c>
      <c r="BZ132" s="155">
        <v>52</v>
      </c>
      <c r="CA132" s="167">
        <v>8.2509999999999994</v>
      </c>
    </row>
    <row r="133" spans="1:79">
      <c r="A133" s="132"/>
      <c r="B133" s="160" t="s">
        <v>186</v>
      </c>
      <c r="C133" s="134"/>
      <c r="D133" s="135"/>
      <c r="E133" s="136"/>
      <c r="F133" s="137"/>
      <c r="G133" s="137"/>
      <c r="H133" s="137"/>
      <c r="I133" s="137"/>
      <c r="J133" s="137"/>
      <c r="K133" s="138"/>
      <c r="L133" s="139"/>
      <c r="M133" s="140"/>
      <c r="N133" s="154">
        <v>6.0000000000000001E-3</v>
      </c>
      <c r="O133" s="155">
        <v>3.11</v>
      </c>
      <c r="P133" s="155">
        <v>4.5000000000000005E-3</v>
      </c>
      <c r="Q133" s="155">
        <v>2.1593161099800002</v>
      </c>
      <c r="R133" s="162"/>
      <c r="S133" s="163"/>
      <c r="T133" s="163"/>
      <c r="U133" s="163"/>
      <c r="V133" s="163">
        <v>3.0000000000000001E-3</v>
      </c>
      <c r="W133" s="161">
        <v>3.323</v>
      </c>
      <c r="X133" s="162">
        <v>0.01</v>
      </c>
      <c r="Y133" s="161">
        <v>4.5885513800000002</v>
      </c>
      <c r="Z133" s="162">
        <v>0.31719999999999998</v>
      </c>
      <c r="AA133" s="164">
        <f t="shared" si="8"/>
        <v>155.41118759600002</v>
      </c>
      <c r="AB133" s="161">
        <v>155.54477759600002</v>
      </c>
      <c r="AC133" s="162">
        <v>4.0000000000000001E-3</v>
      </c>
      <c r="AD133" s="161">
        <v>0.44148999999999999</v>
      </c>
      <c r="AE133" s="162">
        <v>5.8900000000000001E-2</v>
      </c>
      <c r="AF133" s="161">
        <v>15.6998417392</v>
      </c>
      <c r="AG133" s="162"/>
      <c r="AH133" s="161"/>
      <c r="AI133" s="162"/>
      <c r="AJ133" s="163"/>
      <c r="AK133" s="162"/>
      <c r="AL133" s="161"/>
      <c r="AM133" s="162"/>
      <c r="AN133" s="161"/>
      <c r="AO133" s="162"/>
      <c r="AP133" s="161"/>
      <c r="AQ133" s="165">
        <v>32</v>
      </c>
      <c r="AR133" s="166">
        <v>21.247379549692308</v>
      </c>
      <c r="AS133" s="162"/>
      <c r="AT133" s="161"/>
      <c r="AU133" s="165">
        <f>0.576+23.54+20.959</f>
        <v>45.075000000000003</v>
      </c>
      <c r="AV133" s="167"/>
      <c r="AW133" s="168"/>
      <c r="AX133" s="168"/>
      <c r="AY133" s="168"/>
      <c r="AZ133" s="162"/>
      <c r="BA133" s="161"/>
      <c r="BB133" s="169"/>
      <c r="BC133" s="170">
        <v>54.5</v>
      </c>
      <c r="BD133" s="153">
        <f t="shared" si="7"/>
        <v>615.47481066187231</v>
      </c>
      <c r="BE133" s="154">
        <f t="shared" si="5"/>
        <v>197.15345428699999</v>
      </c>
      <c r="BF133" s="155">
        <f t="shared" si="6"/>
        <v>81.036000000000001</v>
      </c>
      <c r="BG133" s="149">
        <f t="shared" si="9"/>
        <v>31.596</v>
      </c>
      <c r="BH133" s="154">
        <v>4.0000000000000001E-3</v>
      </c>
      <c r="BI133" s="155">
        <v>9.5366773449999993</v>
      </c>
      <c r="BJ133" s="155">
        <v>2.0000000000000004E-2</v>
      </c>
      <c r="BK133" s="155">
        <v>15.742439768000002</v>
      </c>
      <c r="BL133" s="155">
        <v>2.4E-2</v>
      </c>
      <c r="BM133" s="155">
        <v>19.319541614000002</v>
      </c>
      <c r="BN133" s="155">
        <v>6.0000000000000001E-3</v>
      </c>
      <c r="BO133" s="155">
        <v>4.57</v>
      </c>
      <c r="BP133" s="171">
        <v>1</v>
      </c>
      <c r="BQ133" s="155">
        <v>3.6517955600000001</v>
      </c>
      <c r="BR133" s="155">
        <v>134</v>
      </c>
      <c r="BS133" s="167">
        <v>144.333</v>
      </c>
      <c r="BT133" s="154">
        <v>2.5000000000000001E-2</v>
      </c>
      <c r="BU133" s="155">
        <v>5.9649999999999999</v>
      </c>
      <c r="BV133" s="155">
        <v>11</v>
      </c>
      <c r="BW133" s="155">
        <v>2.6160000000000001</v>
      </c>
      <c r="BX133" s="159">
        <v>15</v>
      </c>
      <c r="BY133" s="155">
        <v>40.859000000000002</v>
      </c>
      <c r="BZ133" s="155">
        <v>252</v>
      </c>
      <c r="CA133" s="167">
        <v>31.596</v>
      </c>
    </row>
    <row r="134" spans="1:79">
      <c r="A134" s="132"/>
      <c r="B134" s="160" t="s">
        <v>187</v>
      </c>
      <c r="C134" s="134"/>
      <c r="D134" s="135"/>
      <c r="E134" s="136"/>
      <c r="F134" s="137"/>
      <c r="G134" s="137"/>
      <c r="H134" s="137"/>
      <c r="I134" s="137"/>
      <c r="J134" s="137"/>
      <c r="K134" s="138"/>
      <c r="L134" s="139"/>
      <c r="M134" s="140"/>
      <c r="N134" s="154"/>
      <c r="O134" s="155"/>
      <c r="P134" s="155"/>
      <c r="Q134" s="155"/>
      <c r="R134" s="162"/>
      <c r="S134" s="163"/>
      <c r="T134" s="163"/>
      <c r="U134" s="163"/>
      <c r="V134" s="163"/>
      <c r="W134" s="161"/>
      <c r="X134" s="162">
        <v>5.8000000000000003E-2</v>
      </c>
      <c r="Y134" s="161">
        <v>32.400958001600003</v>
      </c>
      <c r="Z134" s="162"/>
      <c r="AA134" s="164"/>
      <c r="AB134" s="161"/>
      <c r="AC134" s="162">
        <v>1.2999999999999999E-2</v>
      </c>
      <c r="AD134" s="161">
        <v>15.45703</v>
      </c>
      <c r="AE134" s="162"/>
      <c r="AF134" s="161"/>
      <c r="AG134" s="162"/>
      <c r="AH134" s="161"/>
      <c r="AI134" s="162"/>
      <c r="AJ134" s="163"/>
      <c r="AK134" s="162"/>
      <c r="AL134" s="161"/>
      <c r="AM134" s="162"/>
      <c r="AN134" s="161"/>
      <c r="AO134" s="162"/>
      <c r="AP134" s="161"/>
      <c r="AQ134" s="165">
        <v>29</v>
      </c>
      <c r="AR134" s="166">
        <v>4.0870038599999994</v>
      </c>
      <c r="AS134" s="162">
        <v>2.4500000000000001E-2</v>
      </c>
      <c r="AT134" s="161">
        <v>50.134085536000001</v>
      </c>
      <c r="AU134" s="162"/>
      <c r="AV134" s="167"/>
      <c r="AW134" s="168"/>
      <c r="AX134" s="168"/>
      <c r="AY134" s="168"/>
      <c r="AZ134" s="162"/>
      <c r="BA134" s="161"/>
      <c r="BB134" s="169"/>
      <c r="BC134" s="170">
        <v>69.103694616479999</v>
      </c>
      <c r="BD134" s="153">
        <f t="shared" si="7"/>
        <v>361.39000276133004</v>
      </c>
      <c r="BE134" s="154">
        <f t="shared" si="5"/>
        <v>165.74123074725</v>
      </c>
      <c r="BF134" s="155">
        <f t="shared" si="6"/>
        <v>13.858999999999998</v>
      </c>
      <c r="BG134" s="149">
        <f t="shared" si="9"/>
        <v>10.606999999999999</v>
      </c>
      <c r="BH134" s="154">
        <v>2.5000000000000001E-3</v>
      </c>
      <c r="BI134" s="155">
        <v>2.21374934345</v>
      </c>
      <c r="BJ134" s="155">
        <v>5.3000000000000005E-2</v>
      </c>
      <c r="BK134" s="155">
        <v>67.176876879000005</v>
      </c>
      <c r="BL134" s="155">
        <v>8.0000000000000002E-3</v>
      </c>
      <c r="BM134" s="155">
        <v>4.6606045248000001</v>
      </c>
      <c r="BN134" s="155">
        <v>2.1999999999999999E-2</v>
      </c>
      <c r="BO134" s="155">
        <v>18.260999999999999</v>
      </c>
      <c r="BP134" s="171"/>
      <c r="BQ134" s="155"/>
      <c r="BR134" s="155">
        <v>60</v>
      </c>
      <c r="BS134" s="167">
        <v>73.429000000000002</v>
      </c>
      <c r="BT134" s="154"/>
      <c r="BU134" s="155"/>
      <c r="BV134" s="155">
        <v>1</v>
      </c>
      <c r="BW134" s="155">
        <v>0.24399999999999999</v>
      </c>
      <c r="BX134" s="159">
        <v>1</v>
      </c>
      <c r="BY134" s="155">
        <v>3.008</v>
      </c>
      <c r="BZ134" s="155">
        <v>95</v>
      </c>
      <c r="CA134" s="167">
        <v>10.606999999999999</v>
      </c>
    </row>
    <row r="135" spans="1:79">
      <c r="A135" s="132"/>
      <c r="B135" s="160" t="s">
        <v>188</v>
      </c>
      <c r="C135" s="134"/>
      <c r="D135" s="135"/>
      <c r="E135" s="136"/>
      <c r="F135" s="137"/>
      <c r="G135" s="137"/>
      <c r="H135" s="137"/>
      <c r="I135" s="137"/>
      <c r="J135" s="137"/>
      <c r="K135" s="138"/>
      <c r="L135" s="139"/>
      <c r="M135" s="140"/>
      <c r="N135" s="154"/>
      <c r="O135" s="155"/>
      <c r="P135" s="155"/>
      <c r="Q135" s="155"/>
      <c r="R135" s="162"/>
      <c r="S135" s="163"/>
      <c r="T135" s="163"/>
      <c r="U135" s="163"/>
      <c r="V135" s="163"/>
      <c r="W135" s="161"/>
      <c r="X135" s="162">
        <v>0.12570000000000001</v>
      </c>
      <c r="Y135" s="161">
        <v>30.556461395249997</v>
      </c>
      <c r="Z135" s="162">
        <v>4.5999999999999999E-3</v>
      </c>
      <c r="AA135" s="164">
        <f t="shared" si="8"/>
        <v>0.34740554540000002</v>
      </c>
      <c r="AB135" s="161">
        <v>0.4809955454</v>
      </c>
      <c r="AC135" s="162"/>
      <c r="AD135" s="161"/>
      <c r="AE135" s="162"/>
      <c r="AF135" s="161"/>
      <c r="AG135" s="162"/>
      <c r="AH135" s="161"/>
      <c r="AI135" s="162"/>
      <c r="AJ135" s="163"/>
      <c r="AK135" s="162"/>
      <c r="AL135" s="161"/>
      <c r="AM135" s="162">
        <v>1</v>
      </c>
      <c r="AN135" s="161">
        <v>4.168622</v>
      </c>
      <c r="AO135" s="162"/>
      <c r="AP135" s="161"/>
      <c r="AQ135" s="165">
        <v>12</v>
      </c>
      <c r="AR135" s="166">
        <v>16.708466999999999</v>
      </c>
      <c r="AS135" s="162">
        <v>3.0000000000000001E-3</v>
      </c>
      <c r="AT135" s="161">
        <v>6.0704741370000006</v>
      </c>
      <c r="AU135" s="162"/>
      <c r="AV135" s="167"/>
      <c r="AW135" s="168"/>
      <c r="AX135" s="168"/>
      <c r="AY135" s="168"/>
      <c r="AZ135" s="162"/>
      <c r="BA135" s="161"/>
      <c r="BB135" s="169"/>
      <c r="BC135" s="170">
        <v>1.649966391</v>
      </c>
      <c r="BD135" s="153">
        <f t="shared" si="7"/>
        <v>178.38953020540001</v>
      </c>
      <c r="BE135" s="154">
        <f t="shared" ref="BE135:BE198" si="10">BI135+BK135+BM135+BO135+BQ135+BS135</f>
        <v>98.767543736750014</v>
      </c>
      <c r="BF135" s="155">
        <f t="shared" si="6"/>
        <v>13.992000000000001</v>
      </c>
      <c r="BG135" s="149">
        <f t="shared" si="9"/>
        <v>5.9950000000000001</v>
      </c>
      <c r="BH135" s="154">
        <v>2.5000000000000001E-3</v>
      </c>
      <c r="BI135" s="155">
        <v>1.8848910807499999</v>
      </c>
      <c r="BJ135" s="155">
        <v>2.4300000000000002E-2</v>
      </c>
      <c r="BK135" s="155">
        <v>32.021490181000004</v>
      </c>
      <c r="BL135" s="155">
        <v>5.0000000000000001E-3</v>
      </c>
      <c r="BM135" s="155">
        <v>10.116162474999999</v>
      </c>
      <c r="BN135" s="155">
        <v>7.0000000000000001E-3</v>
      </c>
      <c r="BO135" s="155">
        <v>5.5430000000000001</v>
      </c>
      <c r="BP135" s="171"/>
      <c r="BQ135" s="155"/>
      <c r="BR135" s="155">
        <v>31</v>
      </c>
      <c r="BS135" s="167">
        <v>49.201999999999998</v>
      </c>
      <c r="BT135" s="154"/>
      <c r="BU135" s="155"/>
      <c r="BV135" s="155">
        <v>2</v>
      </c>
      <c r="BW135" s="155">
        <v>0.72899999999999998</v>
      </c>
      <c r="BX135" s="159">
        <v>3</v>
      </c>
      <c r="BY135" s="155">
        <v>7.2679999999999998</v>
      </c>
      <c r="BZ135" s="155">
        <v>44</v>
      </c>
      <c r="CA135" s="167">
        <v>5.9950000000000001</v>
      </c>
    </row>
    <row r="136" spans="1:79">
      <c r="A136" s="132"/>
      <c r="B136" s="160" t="s">
        <v>189</v>
      </c>
      <c r="C136" s="134"/>
      <c r="D136" s="135"/>
      <c r="E136" s="136"/>
      <c r="F136" s="137"/>
      <c r="G136" s="137"/>
      <c r="H136" s="137"/>
      <c r="I136" s="137"/>
      <c r="J136" s="137"/>
      <c r="K136" s="138"/>
      <c r="L136" s="139"/>
      <c r="M136" s="140"/>
      <c r="N136" s="154"/>
      <c r="O136" s="155"/>
      <c r="P136" s="155"/>
      <c r="Q136" s="155"/>
      <c r="R136" s="162"/>
      <c r="S136" s="163"/>
      <c r="T136" s="163"/>
      <c r="U136" s="163"/>
      <c r="V136" s="163"/>
      <c r="W136" s="161"/>
      <c r="X136" s="162">
        <v>0.22950000000000001</v>
      </c>
      <c r="Y136" s="161">
        <v>45.5744228334</v>
      </c>
      <c r="Z136" s="162">
        <v>0.1724</v>
      </c>
      <c r="AA136" s="164">
        <f t="shared" si="8"/>
        <v>29.77886944858</v>
      </c>
      <c r="AB136" s="161">
        <v>29.912459448580002</v>
      </c>
      <c r="AC136" s="162">
        <v>0.10059999999999999</v>
      </c>
      <c r="AD136" s="161">
        <v>23.037937774631999</v>
      </c>
      <c r="AE136" s="162">
        <v>0.31240000000000001</v>
      </c>
      <c r="AF136" s="161">
        <v>66.076971739200005</v>
      </c>
      <c r="AG136" s="162"/>
      <c r="AH136" s="161"/>
      <c r="AI136" s="162">
        <v>2</v>
      </c>
      <c r="AJ136" s="163">
        <v>1.4639599999999999</v>
      </c>
      <c r="AK136" s="162">
        <v>8.2199999999999995E-2</v>
      </c>
      <c r="AL136" s="161">
        <v>76.52901807456</v>
      </c>
      <c r="AM136" s="162">
        <v>7</v>
      </c>
      <c r="AN136" s="161">
        <v>24.687988064999999</v>
      </c>
      <c r="AO136" s="162"/>
      <c r="AP136" s="161"/>
      <c r="AQ136" s="165">
        <v>35</v>
      </c>
      <c r="AR136" s="166">
        <v>18.680897262384612</v>
      </c>
      <c r="AS136" s="162">
        <v>1.7999999999999999E-2</v>
      </c>
      <c r="AT136" s="161">
        <v>28.718767529999997</v>
      </c>
      <c r="AU136" s="162">
        <v>0.52500000000000002</v>
      </c>
      <c r="AV136" s="167"/>
      <c r="AW136" s="168"/>
      <c r="AX136" s="168"/>
      <c r="AY136" s="168"/>
      <c r="AZ136" s="162"/>
      <c r="BA136" s="161"/>
      <c r="BB136" s="169"/>
      <c r="BC136" s="170">
        <v>76.944000000000003</v>
      </c>
      <c r="BD136" s="153">
        <f t="shared" si="7"/>
        <v>664.58645269675662</v>
      </c>
      <c r="BE136" s="154">
        <f t="shared" si="10"/>
        <v>184.92602996900001</v>
      </c>
      <c r="BF136" s="155">
        <f t="shared" ref="BF136:BF199" si="11">BU136+BW136+BY136+CA136</f>
        <v>56.301000000000002</v>
      </c>
      <c r="BG136" s="149">
        <f t="shared" si="9"/>
        <v>31.207999999999998</v>
      </c>
      <c r="BH136" s="154">
        <v>6.0000000000000001E-3</v>
      </c>
      <c r="BI136" s="155">
        <v>4.3474363709999997</v>
      </c>
      <c r="BJ136" s="155">
        <v>2.5000000000000001E-2</v>
      </c>
      <c r="BK136" s="155">
        <v>24.859320296500002</v>
      </c>
      <c r="BL136" s="155">
        <v>9.0000000000000011E-3</v>
      </c>
      <c r="BM136" s="155">
        <v>6.7279983014999996</v>
      </c>
      <c r="BN136" s="155">
        <v>6.0000000000000001E-3</v>
      </c>
      <c r="BO136" s="155">
        <v>3.637</v>
      </c>
      <c r="BP136" s="171">
        <v>1</v>
      </c>
      <c r="BQ136" s="155">
        <v>1.361275</v>
      </c>
      <c r="BR136" s="155">
        <v>124</v>
      </c>
      <c r="BS136" s="167">
        <v>143.99299999999999</v>
      </c>
      <c r="BT136" s="154"/>
      <c r="BU136" s="155"/>
      <c r="BV136" s="155">
        <v>5</v>
      </c>
      <c r="BW136" s="155">
        <v>1.0629999999999999</v>
      </c>
      <c r="BX136" s="159">
        <v>13</v>
      </c>
      <c r="BY136" s="155">
        <v>24.03</v>
      </c>
      <c r="BZ136" s="155">
        <v>245</v>
      </c>
      <c r="CA136" s="167">
        <v>31.207999999999998</v>
      </c>
    </row>
    <row r="137" spans="1:79">
      <c r="A137" s="132"/>
      <c r="B137" s="160" t="s">
        <v>190</v>
      </c>
      <c r="C137" s="134"/>
      <c r="D137" s="135"/>
      <c r="E137" s="136"/>
      <c r="F137" s="137"/>
      <c r="G137" s="137"/>
      <c r="H137" s="137"/>
      <c r="I137" s="137"/>
      <c r="J137" s="137"/>
      <c r="K137" s="138"/>
      <c r="L137" s="139"/>
      <c r="M137" s="140"/>
      <c r="N137" s="154"/>
      <c r="O137" s="155"/>
      <c r="P137" s="155"/>
      <c r="Q137" s="155"/>
      <c r="R137" s="162"/>
      <c r="S137" s="163"/>
      <c r="T137" s="163"/>
      <c r="U137" s="163"/>
      <c r="V137" s="163"/>
      <c r="W137" s="161"/>
      <c r="X137" s="162">
        <v>0.45069999999999999</v>
      </c>
      <c r="Y137" s="161">
        <v>128.37438499999999</v>
      </c>
      <c r="Z137" s="162"/>
      <c r="AA137" s="164"/>
      <c r="AB137" s="161"/>
      <c r="AC137" s="162"/>
      <c r="AD137" s="161"/>
      <c r="AE137" s="162">
        <v>1.2E-2</v>
      </c>
      <c r="AF137" s="161">
        <v>5.5380000000000003</v>
      </c>
      <c r="AG137" s="162">
        <v>2E-3</v>
      </c>
      <c r="AH137" s="161">
        <v>7.1450363780000004</v>
      </c>
      <c r="AI137" s="162"/>
      <c r="AJ137" s="163"/>
      <c r="AK137" s="162"/>
      <c r="AL137" s="161"/>
      <c r="AM137" s="162"/>
      <c r="AN137" s="161"/>
      <c r="AO137" s="162"/>
      <c r="AP137" s="161"/>
      <c r="AQ137" s="165">
        <v>5</v>
      </c>
      <c r="AR137" s="166">
        <v>5.9530854</v>
      </c>
      <c r="AS137" s="162"/>
      <c r="AT137" s="161"/>
      <c r="AU137" s="162"/>
      <c r="AV137" s="167"/>
      <c r="AW137" s="168"/>
      <c r="AX137" s="168"/>
      <c r="AY137" s="168"/>
      <c r="AZ137" s="162"/>
      <c r="BA137" s="161"/>
      <c r="BB137" s="169"/>
      <c r="BC137" s="170">
        <v>39.762576295999999</v>
      </c>
      <c r="BD137" s="153">
        <f t="shared" ref="BD137:BD200" si="12">O137+Q137++S137+U137+W137+Y137+AB137+AD137+AF137+AH137+AJ137+AL137+AN137+AP137+AR137+AT137+AU137+AV137+AW137+AY137+BA137+BB137+BC137+BE137+BF137+BG137</f>
        <v>271.75313800740003</v>
      </c>
      <c r="BE137" s="154">
        <f t="shared" si="10"/>
        <v>42.386054933400004</v>
      </c>
      <c r="BF137" s="155">
        <f t="shared" si="11"/>
        <v>25.053000000000001</v>
      </c>
      <c r="BG137" s="149">
        <f t="shared" si="9"/>
        <v>17.541</v>
      </c>
      <c r="BH137" s="154"/>
      <c r="BI137" s="155"/>
      <c r="BJ137" s="155">
        <v>2E-3</v>
      </c>
      <c r="BK137" s="155">
        <v>1.3990549334</v>
      </c>
      <c r="BL137" s="155"/>
      <c r="BM137" s="155"/>
      <c r="BN137" s="155">
        <v>1.6E-2</v>
      </c>
      <c r="BO137" s="155">
        <v>10.756</v>
      </c>
      <c r="BP137" s="171"/>
      <c r="BQ137" s="155"/>
      <c r="BR137" s="155">
        <v>27</v>
      </c>
      <c r="BS137" s="167">
        <v>30.231000000000002</v>
      </c>
      <c r="BT137" s="154"/>
      <c r="BU137" s="155"/>
      <c r="BV137" s="155">
        <v>1</v>
      </c>
      <c r="BW137" s="155">
        <v>0.24399999999999999</v>
      </c>
      <c r="BX137" s="159">
        <v>3</v>
      </c>
      <c r="BY137" s="155">
        <v>7.2679999999999998</v>
      </c>
      <c r="BZ137" s="155">
        <v>118</v>
      </c>
      <c r="CA137" s="167">
        <v>17.541</v>
      </c>
    </row>
    <row r="138" spans="1:79">
      <c r="A138" s="132"/>
      <c r="B138" s="160" t="s">
        <v>191</v>
      </c>
      <c r="C138" s="134"/>
      <c r="D138" s="135"/>
      <c r="E138" s="136"/>
      <c r="F138" s="137"/>
      <c r="G138" s="137"/>
      <c r="H138" s="137"/>
      <c r="I138" s="137"/>
      <c r="J138" s="137"/>
      <c r="K138" s="138"/>
      <c r="L138" s="139"/>
      <c r="M138" s="140"/>
      <c r="N138" s="154"/>
      <c r="O138" s="155"/>
      <c r="P138" s="155">
        <v>4.0000000000000002E-4</v>
      </c>
      <c r="Q138" s="155">
        <v>5.4636079600000005E-2</v>
      </c>
      <c r="R138" s="162"/>
      <c r="S138" s="163"/>
      <c r="T138" s="163"/>
      <c r="U138" s="163"/>
      <c r="V138" s="163"/>
      <c r="W138" s="161"/>
      <c r="X138" s="162"/>
      <c r="Y138" s="161"/>
      <c r="Z138" s="162"/>
      <c r="AA138" s="164"/>
      <c r="AB138" s="161"/>
      <c r="AC138" s="162"/>
      <c r="AD138" s="161"/>
      <c r="AE138" s="162">
        <v>8.0000000000000002E-3</v>
      </c>
      <c r="AF138" s="161">
        <v>5.8458300000000003</v>
      </c>
      <c r="AG138" s="162"/>
      <c r="AH138" s="161"/>
      <c r="AI138" s="162"/>
      <c r="AJ138" s="163"/>
      <c r="AK138" s="162"/>
      <c r="AL138" s="161"/>
      <c r="AM138" s="162"/>
      <c r="AN138" s="161"/>
      <c r="AO138" s="162"/>
      <c r="AP138" s="161"/>
      <c r="AQ138" s="165"/>
      <c r="AR138" s="166"/>
      <c r="AS138" s="162"/>
      <c r="AT138" s="161"/>
      <c r="AU138" s="162"/>
      <c r="AV138" s="167"/>
      <c r="AW138" s="168"/>
      <c r="AX138" s="168"/>
      <c r="AY138" s="168"/>
      <c r="AZ138" s="162"/>
      <c r="BA138" s="161"/>
      <c r="BB138" s="169"/>
      <c r="BC138" s="170">
        <v>25.304936468000001</v>
      </c>
      <c r="BD138" s="153">
        <f t="shared" si="12"/>
        <v>97.741987362899991</v>
      </c>
      <c r="BE138" s="154">
        <f t="shared" si="10"/>
        <v>49.623584815299999</v>
      </c>
      <c r="BF138" s="155">
        <f t="shared" si="11"/>
        <v>8.6930000000000014</v>
      </c>
      <c r="BG138" s="149">
        <f t="shared" ref="BG138:BG201" si="13">CA138</f>
        <v>8.2200000000000006</v>
      </c>
      <c r="BH138" s="154">
        <v>1.5E-3</v>
      </c>
      <c r="BI138" s="155">
        <v>1.0862483654499999</v>
      </c>
      <c r="BJ138" s="155">
        <v>1.0999999999999999E-2</v>
      </c>
      <c r="BK138" s="155">
        <v>7.6948021336999997</v>
      </c>
      <c r="BL138" s="155">
        <v>4.5000000000000005E-3</v>
      </c>
      <c r="BM138" s="155">
        <v>3.2845343161500002</v>
      </c>
      <c r="BN138" s="155"/>
      <c r="BO138" s="155"/>
      <c r="BP138" s="171"/>
      <c r="BQ138" s="155"/>
      <c r="BR138" s="155">
        <v>34</v>
      </c>
      <c r="BS138" s="167">
        <v>37.558</v>
      </c>
      <c r="BT138" s="154"/>
      <c r="BU138" s="155"/>
      <c r="BV138" s="155">
        <v>2</v>
      </c>
      <c r="BW138" s="155">
        <v>0.47299999999999998</v>
      </c>
      <c r="BX138" s="159"/>
      <c r="BY138" s="155"/>
      <c r="BZ138" s="155">
        <v>30</v>
      </c>
      <c r="CA138" s="167">
        <v>8.2200000000000006</v>
      </c>
    </row>
    <row r="139" spans="1:79">
      <c r="A139" s="132"/>
      <c r="B139" s="178" t="s">
        <v>192</v>
      </c>
      <c r="C139" s="134"/>
      <c r="D139" s="135"/>
      <c r="E139" s="136"/>
      <c r="F139" s="137"/>
      <c r="G139" s="137"/>
      <c r="H139" s="137"/>
      <c r="I139" s="137"/>
      <c r="J139" s="137"/>
      <c r="K139" s="138"/>
      <c r="L139" s="139"/>
      <c r="M139" s="140"/>
      <c r="N139" s="154"/>
      <c r="O139" s="155"/>
      <c r="P139" s="155">
        <v>3.0000000000000001E-3</v>
      </c>
      <c r="Q139" s="155">
        <v>14.013999999999999</v>
      </c>
      <c r="R139" s="162"/>
      <c r="S139" s="163"/>
      <c r="T139" s="163"/>
      <c r="U139" s="163"/>
      <c r="V139" s="163"/>
      <c r="W139" s="161"/>
      <c r="X139" s="162">
        <v>0.27600000000000002</v>
      </c>
      <c r="Y139" s="161">
        <v>41.422080000000001</v>
      </c>
      <c r="Z139" s="162"/>
      <c r="AA139" s="164"/>
      <c r="AB139" s="161"/>
      <c r="AC139" s="162"/>
      <c r="AD139" s="161"/>
      <c r="AE139" s="162">
        <v>1.18E-2</v>
      </c>
      <c r="AF139" s="161">
        <v>6.2091099999999999</v>
      </c>
      <c r="AG139" s="162">
        <v>4.0000000000000001E-3</v>
      </c>
      <c r="AH139" s="161">
        <v>16.293483999999999</v>
      </c>
      <c r="AI139" s="162"/>
      <c r="AJ139" s="163"/>
      <c r="AK139" s="162"/>
      <c r="AL139" s="161"/>
      <c r="AM139" s="162">
        <v>2</v>
      </c>
      <c r="AN139" s="161">
        <v>5.5411200000000003</v>
      </c>
      <c r="AO139" s="162"/>
      <c r="AP139" s="161"/>
      <c r="AQ139" s="165">
        <v>4</v>
      </c>
      <c r="AR139" s="166">
        <v>3.6622065414999998</v>
      </c>
      <c r="AS139" s="162"/>
      <c r="AT139" s="161"/>
      <c r="AU139" s="162"/>
      <c r="AV139" s="167"/>
      <c r="AW139" s="168"/>
      <c r="AX139" s="168">
        <v>1</v>
      </c>
      <c r="AY139" s="168">
        <v>33.798269599999998</v>
      </c>
      <c r="AZ139" s="162"/>
      <c r="BA139" s="161"/>
      <c r="BB139" s="169"/>
      <c r="BC139" s="170">
        <v>2.8090581279999998</v>
      </c>
      <c r="BD139" s="153">
        <f t="shared" si="12"/>
        <v>199.59917290780004</v>
      </c>
      <c r="BE139" s="154">
        <f t="shared" si="10"/>
        <v>59.970844638300001</v>
      </c>
      <c r="BF139" s="155">
        <f t="shared" si="11"/>
        <v>8.532</v>
      </c>
      <c r="BG139" s="149">
        <f t="shared" si="13"/>
        <v>7.3470000000000004</v>
      </c>
      <c r="BH139" s="154">
        <v>1E-3</v>
      </c>
      <c r="BI139" s="155">
        <v>0.8209866857</v>
      </c>
      <c r="BJ139" s="155">
        <v>4.0000000000000001E-3</v>
      </c>
      <c r="BK139" s="155">
        <v>2.7981098668</v>
      </c>
      <c r="BL139" s="155">
        <v>5.0000000000000001E-3</v>
      </c>
      <c r="BM139" s="155">
        <v>3.9277680858000004</v>
      </c>
      <c r="BN139" s="155"/>
      <c r="BO139" s="155"/>
      <c r="BP139" s="171">
        <v>1</v>
      </c>
      <c r="BQ139" s="155">
        <v>2.03098</v>
      </c>
      <c r="BR139" s="155">
        <v>43</v>
      </c>
      <c r="BS139" s="167">
        <v>50.393000000000001</v>
      </c>
      <c r="BT139" s="154"/>
      <c r="BU139" s="155"/>
      <c r="BV139" s="155">
        <v>5</v>
      </c>
      <c r="BW139" s="155">
        <v>1.1850000000000001</v>
      </c>
      <c r="BX139" s="159"/>
      <c r="BY139" s="179"/>
      <c r="BZ139" s="179">
        <v>45</v>
      </c>
      <c r="CA139" s="167">
        <v>7.3470000000000004</v>
      </c>
    </row>
    <row r="140" spans="1:79">
      <c r="A140" s="132"/>
      <c r="B140" s="160" t="s">
        <v>193</v>
      </c>
      <c r="C140" s="134"/>
      <c r="D140" s="135"/>
      <c r="E140" s="136"/>
      <c r="F140" s="137"/>
      <c r="G140" s="137"/>
      <c r="H140" s="137"/>
      <c r="I140" s="137"/>
      <c r="J140" s="137"/>
      <c r="K140" s="138"/>
      <c r="L140" s="139"/>
      <c r="M140" s="140"/>
      <c r="N140" s="154"/>
      <c r="O140" s="155"/>
      <c r="P140" s="155"/>
      <c r="Q140" s="155"/>
      <c r="R140" s="162"/>
      <c r="S140" s="163"/>
      <c r="T140" s="163"/>
      <c r="U140" s="163"/>
      <c r="V140" s="163"/>
      <c r="W140" s="161"/>
      <c r="X140" s="162">
        <v>5.1000000000000004E-2</v>
      </c>
      <c r="Y140" s="161">
        <v>13.748961395249999</v>
      </c>
      <c r="Z140" s="162">
        <v>3.0000000000000001E-3</v>
      </c>
      <c r="AA140" s="164">
        <f t="shared" ref="AA140:AA203" si="14">AB140-0.13359</f>
        <v>1.7986560000000003</v>
      </c>
      <c r="AB140" s="161">
        <v>1.9322460000000001</v>
      </c>
      <c r="AC140" s="162"/>
      <c r="AD140" s="161"/>
      <c r="AE140" s="162"/>
      <c r="AF140" s="161"/>
      <c r="AG140" s="162">
        <v>1.5399999999999999E-3</v>
      </c>
      <c r="AH140" s="161">
        <v>5.5016780110599992</v>
      </c>
      <c r="AI140" s="162">
        <v>1</v>
      </c>
      <c r="AJ140" s="163">
        <v>3.5205700000000002</v>
      </c>
      <c r="AK140" s="162"/>
      <c r="AL140" s="161"/>
      <c r="AM140" s="162">
        <v>2</v>
      </c>
      <c r="AN140" s="161">
        <v>9.33798818</v>
      </c>
      <c r="AO140" s="162"/>
      <c r="AP140" s="161"/>
      <c r="AQ140" s="165"/>
      <c r="AR140" s="166"/>
      <c r="AS140" s="162">
        <v>6.6999999999999994E-3</v>
      </c>
      <c r="AT140" s="161">
        <v>7.7757399999999999</v>
      </c>
      <c r="AU140" s="162"/>
      <c r="AV140" s="167"/>
      <c r="AW140" s="168"/>
      <c r="AX140" s="168"/>
      <c r="AY140" s="168"/>
      <c r="AZ140" s="162"/>
      <c r="BA140" s="161"/>
      <c r="BB140" s="169"/>
      <c r="BC140" s="170">
        <v>0.66507241399999995</v>
      </c>
      <c r="BD140" s="153">
        <f t="shared" si="12"/>
        <v>157.84239605622997</v>
      </c>
      <c r="BE140" s="154">
        <f t="shared" si="10"/>
        <v>72.392140055919995</v>
      </c>
      <c r="BF140" s="155">
        <f t="shared" si="11"/>
        <v>28.427999999999997</v>
      </c>
      <c r="BG140" s="149">
        <f t="shared" si="13"/>
        <v>14.54</v>
      </c>
      <c r="BH140" s="154">
        <v>4.4000000000000003E-3</v>
      </c>
      <c r="BI140" s="155">
        <v>3.1207886569199998</v>
      </c>
      <c r="BJ140" s="155">
        <v>5.4999999999999997E-3</v>
      </c>
      <c r="BK140" s="155">
        <v>6.3665957429999995</v>
      </c>
      <c r="BL140" s="155">
        <v>0.01</v>
      </c>
      <c r="BM140" s="155">
        <v>5.8257556560000001</v>
      </c>
      <c r="BN140" s="155">
        <v>0.01</v>
      </c>
      <c r="BO140" s="155">
        <v>6.8159999999999998</v>
      </c>
      <c r="BP140" s="171"/>
      <c r="BQ140" s="155"/>
      <c r="BR140" s="155">
        <v>29</v>
      </c>
      <c r="BS140" s="167">
        <v>50.262999999999998</v>
      </c>
      <c r="BT140" s="154"/>
      <c r="BU140" s="155"/>
      <c r="BV140" s="155">
        <v>3</v>
      </c>
      <c r="BW140" s="155">
        <v>0.66600000000000004</v>
      </c>
      <c r="BX140" s="159">
        <v>10</v>
      </c>
      <c r="BY140" s="179">
        <v>13.222</v>
      </c>
      <c r="BZ140" s="179">
        <v>95</v>
      </c>
      <c r="CA140" s="167">
        <v>14.54</v>
      </c>
    </row>
    <row r="141" spans="1:79">
      <c r="A141" s="132"/>
      <c r="B141" s="160" t="s">
        <v>194</v>
      </c>
      <c r="C141" s="134"/>
      <c r="D141" s="135"/>
      <c r="E141" s="136"/>
      <c r="F141" s="137"/>
      <c r="G141" s="137"/>
      <c r="H141" s="137"/>
      <c r="I141" s="137"/>
      <c r="J141" s="137"/>
      <c r="K141" s="138"/>
      <c r="L141" s="139"/>
      <c r="M141" s="140"/>
      <c r="N141" s="154"/>
      <c r="O141" s="155"/>
      <c r="P141" s="155"/>
      <c r="Q141" s="155"/>
      <c r="R141" s="162"/>
      <c r="S141" s="163"/>
      <c r="T141" s="163"/>
      <c r="U141" s="163"/>
      <c r="V141" s="163"/>
      <c r="W141" s="161"/>
      <c r="X141" s="162">
        <v>0.42680000000000001</v>
      </c>
      <c r="Y141" s="161">
        <v>108.89505999999999</v>
      </c>
      <c r="Z141" s="162"/>
      <c r="AA141" s="164"/>
      <c r="AB141" s="161"/>
      <c r="AC141" s="162">
        <v>1.04E-2</v>
      </c>
      <c r="AD141" s="161">
        <v>2.5908709226719999</v>
      </c>
      <c r="AE141" s="162">
        <v>1.4999999999999999E-2</v>
      </c>
      <c r="AF141" s="161">
        <v>6.6667399999999999</v>
      </c>
      <c r="AG141" s="162">
        <v>1.2800000000000001E-2</v>
      </c>
      <c r="AH141" s="161">
        <v>15.6367312</v>
      </c>
      <c r="AI141" s="162"/>
      <c r="AJ141" s="163"/>
      <c r="AK141" s="162"/>
      <c r="AL141" s="161"/>
      <c r="AM141" s="162"/>
      <c r="AN141" s="161"/>
      <c r="AO141" s="162"/>
      <c r="AP141" s="161"/>
      <c r="AQ141" s="165">
        <v>4</v>
      </c>
      <c r="AR141" s="166">
        <v>9.226661</v>
      </c>
      <c r="AS141" s="162">
        <v>3.0000000000000001E-3</v>
      </c>
      <c r="AT141" s="161">
        <v>7.9100459999999995</v>
      </c>
      <c r="AU141" s="162"/>
      <c r="AV141" s="167"/>
      <c r="AW141" s="168"/>
      <c r="AX141" s="168"/>
      <c r="AY141" s="168"/>
      <c r="AZ141" s="162"/>
      <c r="BA141" s="161"/>
      <c r="BB141" s="169"/>
      <c r="BC141" s="170">
        <v>7.06</v>
      </c>
      <c r="BD141" s="153">
        <f t="shared" si="12"/>
        <v>294.24578592551205</v>
      </c>
      <c r="BE141" s="154">
        <f t="shared" si="10"/>
        <v>71.414676802840006</v>
      </c>
      <c r="BF141" s="155">
        <f t="shared" si="11"/>
        <v>44.358000000000004</v>
      </c>
      <c r="BG141" s="149">
        <f t="shared" si="13"/>
        <v>20.486999999999998</v>
      </c>
      <c r="BH141" s="154">
        <v>4.5999999999999999E-3</v>
      </c>
      <c r="BI141" s="155">
        <v>5.2632527510399996</v>
      </c>
      <c r="BJ141" s="155">
        <v>1.2999999999999999E-2</v>
      </c>
      <c r="BK141" s="155">
        <v>14.4074240518</v>
      </c>
      <c r="BL141" s="155"/>
      <c r="BM141" s="155"/>
      <c r="BN141" s="155">
        <v>3.0000000000000001E-3</v>
      </c>
      <c r="BO141" s="155">
        <v>2.302</v>
      </c>
      <c r="BP141" s="171"/>
      <c r="BQ141" s="155"/>
      <c r="BR141" s="155">
        <v>39</v>
      </c>
      <c r="BS141" s="167">
        <v>49.442</v>
      </c>
      <c r="BT141" s="154">
        <v>0.05</v>
      </c>
      <c r="BU141" s="155">
        <v>10.814</v>
      </c>
      <c r="BV141" s="155">
        <v>1</v>
      </c>
      <c r="BW141" s="155">
        <v>0.24399999999999999</v>
      </c>
      <c r="BX141" s="159">
        <v>5</v>
      </c>
      <c r="BY141" s="179">
        <v>12.813000000000001</v>
      </c>
      <c r="BZ141" s="179">
        <v>169</v>
      </c>
      <c r="CA141" s="167">
        <v>20.486999999999998</v>
      </c>
    </row>
    <row r="142" spans="1:79">
      <c r="A142" s="132"/>
      <c r="B142" s="160" t="s">
        <v>195</v>
      </c>
      <c r="C142" s="134"/>
      <c r="D142" s="135"/>
      <c r="E142" s="136"/>
      <c r="F142" s="137"/>
      <c r="G142" s="137"/>
      <c r="H142" s="137"/>
      <c r="I142" s="137"/>
      <c r="J142" s="137"/>
      <c r="K142" s="138"/>
      <c r="L142" s="139"/>
      <c r="M142" s="140"/>
      <c r="N142" s="154"/>
      <c r="O142" s="155"/>
      <c r="P142" s="155">
        <v>5.4000000000000006E-2</v>
      </c>
      <c r="Q142" s="155">
        <v>7.7191285714400015</v>
      </c>
      <c r="R142" s="162"/>
      <c r="S142" s="163"/>
      <c r="T142" s="163"/>
      <c r="U142" s="163"/>
      <c r="V142" s="163">
        <f>0.003+0.003</f>
        <v>6.0000000000000001E-3</v>
      </c>
      <c r="W142" s="161">
        <f>3.3201+2.241</f>
        <v>5.5610999999999997</v>
      </c>
      <c r="X142" s="162"/>
      <c r="Y142" s="161"/>
      <c r="Z142" s="162">
        <v>0.25919999999999999</v>
      </c>
      <c r="AA142" s="164">
        <f t="shared" si="14"/>
        <v>41.603716533300002</v>
      </c>
      <c r="AB142" s="161">
        <v>41.7373065333</v>
      </c>
      <c r="AC142" s="162">
        <v>2.2199999999999998E-2</v>
      </c>
      <c r="AD142" s="161">
        <v>28.906040384759997</v>
      </c>
      <c r="AE142" s="162">
        <v>0.41980000000000006</v>
      </c>
      <c r="AF142" s="161">
        <v>63.143030474300005</v>
      </c>
      <c r="AG142" s="162">
        <v>2E-3</v>
      </c>
      <c r="AH142" s="161">
        <v>1.3000844443999999</v>
      </c>
      <c r="AI142" s="162"/>
      <c r="AJ142" s="163"/>
      <c r="AK142" s="162"/>
      <c r="AL142" s="161"/>
      <c r="AM142" s="162">
        <v>13</v>
      </c>
      <c r="AN142" s="161">
        <v>30.099547644000001</v>
      </c>
      <c r="AO142" s="162"/>
      <c r="AP142" s="161"/>
      <c r="AQ142" s="165">
        <v>46</v>
      </c>
      <c r="AR142" s="166">
        <v>27.984049649499998</v>
      </c>
      <c r="AS142" s="162"/>
      <c r="AT142" s="161"/>
      <c r="AU142" s="162"/>
      <c r="AV142" s="167"/>
      <c r="AW142" s="168"/>
      <c r="AX142" s="168"/>
      <c r="AY142" s="168"/>
      <c r="AZ142" s="162">
        <v>2</v>
      </c>
      <c r="BA142" s="161">
        <v>31.173999999999999</v>
      </c>
      <c r="BB142" s="169"/>
      <c r="BC142" s="170">
        <v>46.146000000000001</v>
      </c>
      <c r="BD142" s="153">
        <f t="shared" si="12"/>
        <v>586.42248442965001</v>
      </c>
      <c r="BE142" s="154">
        <f t="shared" si="10"/>
        <v>171.06619672795</v>
      </c>
      <c r="BF142" s="155">
        <f t="shared" si="11"/>
        <v>85.545999999999992</v>
      </c>
      <c r="BG142" s="149">
        <f t="shared" si="13"/>
        <v>46.04</v>
      </c>
      <c r="BH142" s="154"/>
      <c r="BI142" s="155"/>
      <c r="BJ142" s="155">
        <v>0.04</v>
      </c>
      <c r="BK142" s="155">
        <v>32.1665388224</v>
      </c>
      <c r="BL142" s="155">
        <v>1.3000000000000001E-2</v>
      </c>
      <c r="BM142" s="155">
        <v>11.46367790555</v>
      </c>
      <c r="BN142" s="155">
        <v>7.0000000000000001E-3</v>
      </c>
      <c r="BO142" s="155">
        <v>5.1989999999999998</v>
      </c>
      <c r="BP142" s="171">
        <v>1</v>
      </c>
      <c r="BQ142" s="155">
        <v>2.03098</v>
      </c>
      <c r="BR142" s="155">
        <v>86</v>
      </c>
      <c r="BS142" s="167">
        <v>120.206</v>
      </c>
      <c r="BT142" s="158">
        <v>2.7E-2</v>
      </c>
      <c r="BU142" s="158">
        <v>28.914999999999999</v>
      </c>
      <c r="BV142" s="155">
        <v>11</v>
      </c>
      <c r="BW142" s="155">
        <v>3.0569999999999999</v>
      </c>
      <c r="BX142" s="159">
        <v>3</v>
      </c>
      <c r="BY142" s="179">
        <v>7.5339999999999998</v>
      </c>
      <c r="BZ142" s="179">
        <v>306</v>
      </c>
      <c r="CA142" s="167">
        <v>46.04</v>
      </c>
    </row>
    <row r="143" spans="1:79">
      <c r="A143" s="132"/>
      <c r="B143" s="160" t="s">
        <v>196</v>
      </c>
      <c r="C143" s="134"/>
      <c r="D143" s="135"/>
      <c r="E143" s="136"/>
      <c r="F143" s="137"/>
      <c r="G143" s="137"/>
      <c r="H143" s="137"/>
      <c r="I143" s="137"/>
      <c r="J143" s="137"/>
      <c r="K143" s="138"/>
      <c r="L143" s="139"/>
      <c r="M143" s="140"/>
      <c r="N143" s="154"/>
      <c r="O143" s="155"/>
      <c r="P143" s="155"/>
      <c r="Q143" s="155"/>
      <c r="R143" s="162">
        <v>4</v>
      </c>
      <c r="S143" s="163">
        <v>0.41636299999999998</v>
      </c>
      <c r="T143" s="163"/>
      <c r="U143" s="163"/>
      <c r="V143" s="163"/>
      <c r="W143" s="161"/>
      <c r="X143" s="162"/>
      <c r="Y143" s="161"/>
      <c r="Z143" s="162"/>
      <c r="AA143" s="164"/>
      <c r="AB143" s="161"/>
      <c r="AC143" s="162">
        <v>2.8999999999999998E-3</v>
      </c>
      <c r="AD143" s="161">
        <v>5.1281077000000002</v>
      </c>
      <c r="AE143" s="162"/>
      <c r="AF143" s="161"/>
      <c r="AG143" s="162"/>
      <c r="AH143" s="161"/>
      <c r="AI143" s="162"/>
      <c r="AJ143" s="163"/>
      <c r="AK143" s="162"/>
      <c r="AL143" s="161"/>
      <c r="AM143" s="162"/>
      <c r="AN143" s="161"/>
      <c r="AO143" s="162"/>
      <c r="AP143" s="161"/>
      <c r="AQ143" s="165"/>
      <c r="AR143" s="166"/>
      <c r="AS143" s="162"/>
      <c r="AT143" s="161"/>
      <c r="AU143" s="162"/>
      <c r="AV143" s="167"/>
      <c r="AW143" s="168"/>
      <c r="AX143" s="168"/>
      <c r="AY143" s="168"/>
      <c r="AZ143" s="162"/>
      <c r="BA143" s="161"/>
      <c r="BB143" s="169"/>
      <c r="BC143" s="170">
        <v>3.2514882740000002</v>
      </c>
      <c r="BD143" s="153">
        <f t="shared" si="12"/>
        <v>70.880415011749989</v>
      </c>
      <c r="BE143" s="154">
        <f t="shared" si="10"/>
        <v>1.9994560377499999</v>
      </c>
      <c r="BF143" s="155">
        <f t="shared" si="11"/>
        <v>39.478999999999999</v>
      </c>
      <c r="BG143" s="149">
        <f t="shared" si="13"/>
        <v>20.606000000000002</v>
      </c>
      <c r="BH143" s="154"/>
      <c r="BI143" s="155"/>
      <c r="BJ143" s="155"/>
      <c r="BK143" s="155"/>
      <c r="BL143" s="155">
        <v>2.5000000000000001E-3</v>
      </c>
      <c r="BM143" s="155">
        <v>1.9994560377499999</v>
      </c>
      <c r="BN143" s="155"/>
      <c r="BO143" s="155"/>
      <c r="BP143" s="171"/>
      <c r="BQ143" s="155"/>
      <c r="BR143" s="155"/>
      <c r="BS143" s="167"/>
      <c r="BT143" s="154">
        <v>8.5000000000000006E-2</v>
      </c>
      <c r="BU143" s="155">
        <v>18.384</v>
      </c>
      <c r="BV143" s="155">
        <v>2</v>
      </c>
      <c r="BW143" s="155">
        <v>0.48899999999999999</v>
      </c>
      <c r="BX143" s="159"/>
      <c r="BY143" s="179"/>
      <c r="BZ143" s="179">
        <v>89</v>
      </c>
      <c r="CA143" s="167">
        <v>20.606000000000002</v>
      </c>
    </row>
    <row r="144" spans="1:79">
      <c r="A144" s="132"/>
      <c r="B144" s="160" t="s">
        <v>197</v>
      </c>
      <c r="C144" s="134"/>
      <c r="D144" s="135"/>
      <c r="E144" s="136"/>
      <c r="F144" s="137"/>
      <c r="G144" s="137"/>
      <c r="H144" s="137"/>
      <c r="I144" s="137"/>
      <c r="J144" s="137"/>
      <c r="K144" s="138"/>
      <c r="L144" s="139"/>
      <c r="M144" s="140"/>
      <c r="N144" s="154"/>
      <c r="O144" s="155"/>
      <c r="P144" s="155"/>
      <c r="Q144" s="155"/>
      <c r="R144" s="162"/>
      <c r="S144" s="163"/>
      <c r="T144" s="163"/>
      <c r="U144" s="163"/>
      <c r="V144" s="163"/>
      <c r="W144" s="161"/>
      <c r="X144" s="162">
        <v>0.03</v>
      </c>
      <c r="Y144" s="161">
        <v>6.75</v>
      </c>
      <c r="Z144" s="162"/>
      <c r="AA144" s="164"/>
      <c r="AB144" s="161"/>
      <c r="AC144" s="162"/>
      <c r="AD144" s="161"/>
      <c r="AE144" s="162"/>
      <c r="AF144" s="161"/>
      <c r="AG144" s="162"/>
      <c r="AH144" s="161"/>
      <c r="AI144" s="162"/>
      <c r="AJ144" s="163"/>
      <c r="AK144" s="162"/>
      <c r="AL144" s="161"/>
      <c r="AM144" s="162"/>
      <c r="AN144" s="161"/>
      <c r="AO144" s="162"/>
      <c r="AP144" s="161"/>
      <c r="AQ144" s="165">
        <v>1</v>
      </c>
      <c r="AR144" s="166">
        <v>0.86983244999999998</v>
      </c>
      <c r="AS144" s="162"/>
      <c r="AT144" s="161"/>
      <c r="AU144" s="162"/>
      <c r="AV144" s="167"/>
      <c r="AW144" s="168"/>
      <c r="AX144" s="168"/>
      <c r="AY144" s="168"/>
      <c r="AZ144" s="162"/>
      <c r="BA144" s="161"/>
      <c r="BB144" s="169"/>
      <c r="BC144" s="170">
        <f>6.553+3.398</f>
        <v>9.9510000000000005</v>
      </c>
      <c r="BD144" s="153">
        <f t="shared" si="12"/>
        <v>109.5944205182</v>
      </c>
      <c r="BE144" s="154">
        <f t="shared" si="10"/>
        <v>35.496588068199998</v>
      </c>
      <c r="BF144" s="155">
        <f t="shared" si="11"/>
        <v>34.616999999999997</v>
      </c>
      <c r="BG144" s="149">
        <f t="shared" si="13"/>
        <v>21.91</v>
      </c>
      <c r="BH144" s="154"/>
      <c r="BI144" s="155"/>
      <c r="BJ144" s="155"/>
      <c r="BK144" s="155"/>
      <c r="BL144" s="155">
        <v>1E-3</v>
      </c>
      <c r="BM144" s="155">
        <v>0.86858806820000001</v>
      </c>
      <c r="BN144" s="155"/>
      <c r="BO144" s="155"/>
      <c r="BP144" s="171"/>
      <c r="BQ144" s="155"/>
      <c r="BR144" s="155">
        <v>30</v>
      </c>
      <c r="BS144" s="167">
        <v>34.628</v>
      </c>
      <c r="BT144" s="154">
        <v>0.04</v>
      </c>
      <c r="BU144" s="155">
        <v>8.6509999999999998</v>
      </c>
      <c r="BV144" s="155">
        <v>5</v>
      </c>
      <c r="BW144" s="155">
        <v>1.3149999999999999</v>
      </c>
      <c r="BX144" s="159">
        <v>2</v>
      </c>
      <c r="BY144" s="179">
        <v>2.7410000000000001</v>
      </c>
      <c r="BZ144" s="179">
        <v>172</v>
      </c>
      <c r="CA144" s="167">
        <v>21.91</v>
      </c>
    </row>
    <row r="145" spans="1:79">
      <c r="A145" s="132"/>
      <c r="B145" s="160" t="s">
        <v>198</v>
      </c>
      <c r="C145" s="134"/>
      <c r="D145" s="135"/>
      <c r="E145" s="136"/>
      <c r="F145" s="137"/>
      <c r="G145" s="137"/>
      <c r="H145" s="137"/>
      <c r="I145" s="137"/>
      <c r="J145" s="137"/>
      <c r="K145" s="138"/>
      <c r="L145" s="139"/>
      <c r="M145" s="140"/>
      <c r="N145" s="154"/>
      <c r="O145" s="155"/>
      <c r="P145" s="155"/>
      <c r="Q145" s="155"/>
      <c r="R145" s="162">
        <v>9</v>
      </c>
      <c r="S145" s="163">
        <v>1.7057161710000002</v>
      </c>
      <c r="T145" s="163"/>
      <c r="U145" s="163"/>
      <c r="V145" s="163"/>
      <c r="W145" s="161"/>
      <c r="X145" s="162"/>
      <c r="Y145" s="161"/>
      <c r="Z145" s="162"/>
      <c r="AA145" s="164"/>
      <c r="AB145" s="161"/>
      <c r="AC145" s="162"/>
      <c r="AD145" s="161"/>
      <c r="AE145" s="162">
        <v>5.3800000000000002E-3</v>
      </c>
      <c r="AF145" s="161">
        <v>2.1747189711980002</v>
      </c>
      <c r="AG145" s="162"/>
      <c r="AH145" s="161"/>
      <c r="AI145" s="162">
        <v>6</v>
      </c>
      <c r="AJ145" s="163">
        <v>4.1693093880000003</v>
      </c>
      <c r="AK145" s="162"/>
      <c r="AL145" s="161"/>
      <c r="AM145" s="162"/>
      <c r="AN145" s="161"/>
      <c r="AO145" s="162"/>
      <c r="AP145" s="161"/>
      <c r="AQ145" s="165">
        <v>5</v>
      </c>
      <c r="AR145" s="166">
        <v>2.5008637</v>
      </c>
      <c r="AS145" s="162"/>
      <c r="AT145" s="161"/>
      <c r="AU145" s="162"/>
      <c r="AV145" s="167"/>
      <c r="AW145" s="168"/>
      <c r="AX145" s="168"/>
      <c r="AY145" s="168"/>
      <c r="AZ145" s="162"/>
      <c r="BA145" s="161"/>
      <c r="BB145" s="169"/>
      <c r="BC145" s="170">
        <v>23.348224425999998</v>
      </c>
      <c r="BD145" s="153">
        <f t="shared" si="12"/>
        <v>106.516330941158</v>
      </c>
      <c r="BE145" s="154">
        <f t="shared" si="10"/>
        <v>54.644498284960001</v>
      </c>
      <c r="BF145" s="155">
        <f t="shared" si="11"/>
        <v>9.3049999999999997</v>
      </c>
      <c r="BG145" s="149">
        <f t="shared" si="13"/>
        <v>8.6679999999999993</v>
      </c>
      <c r="BH145" s="154"/>
      <c r="BI145" s="155"/>
      <c r="BJ145" s="155"/>
      <c r="BK145" s="155"/>
      <c r="BL145" s="155">
        <v>2.2800000000000001E-2</v>
      </c>
      <c r="BM145" s="155">
        <v>22.747498284959999</v>
      </c>
      <c r="BN145" s="155">
        <v>3.0000000000000001E-3</v>
      </c>
      <c r="BO145" s="155">
        <v>2.4159999999999999</v>
      </c>
      <c r="BP145" s="171"/>
      <c r="BQ145" s="155"/>
      <c r="BR145" s="155">
        <v>26</v>
      </c>
      <c r="BS145" s="167">
        <v>29.481000000000002</v>
      </c>
      <c r="BT145" s="154"/>
      <c r="BU145" s="155"/>
      <c r="BV145" s="155">
        <v>3</v>
      </c>
      <c r="BW145" s="155">
        <v>0.63700000000000001</v>
      </c>
      <c r="BX145" s="159"/>
      <c r="BY145" s="179"/>
      <c r="BZ145" s="179">
        <v>47</v>
      </c>
      <c r="CA145" s="167">
        <v>8.6679999999999993</v>
      </c>
    </row>
    <row r="146" spans="1:79">
      <c r="A146" s="132"/>
      <c r="B146" s="160" t="s">
        <v>199</v>
      </c>
      <c r="C146" s="134"/>
      <c r="D146" s="135"/>
      <c r="E146" s="136"/>
      <c r="F146" s="137"/>
      <c r="G146" s="137"/>
      <c r="H146" s="137"/>
      <c r="I146" s="137"/>
      <c r="J146" s="137"/>
      <c r="K146" s="138"/>
      <c r="L146" s="139"/>
      <c r="M146" s="140"/>
      <c r="N146" s="154"/>
      <c r="O146" s="155"/>
      <c r="P146" s="155"/>
      <c r="Q146" s="155"/>
      <c r="R146" s="162"/>
      <c r="S146" s="163"/>
      <c r="T146" s="163">
        <v>8</v>
      </c>
      <c r="U146" s="163">
        <v>1.082549</v>
      </c>
      <c r="V146" s="163"/>
      <c r="W146" s="161"/>
      <c r="X146" s="162"/>
      <c r="Y146" s="161"/>
      <c r="Z146" s="162">
        <v>5.8200000000000002E-2</v>
      </c>
      <c r="AA146" s="164">
        <f t="shared" si="14"/>
        <v>10.932363272039998</v>
      </c>
      <c r="AB146" s="161">
        <v>11.065953272039998</v>
      </c>
      <c r="AC146" s="162">
        <v>2.0999999999999999E-3</v>
      </c>
      <c r="AD146" s="161">
        <v>7.0825797000000001</v>
      </c>
      <c r="AE146" s="162"/>
      <c r="AF146" s="161"/>
      <c r="AG146" s="162"/>
      <c r="AH146" s="161"/>
      <c r="AI146" s="162"/>
      <c r="AJ146" s="163"/>
      <c r="AK146" s="162"/>
      <c r="AL146" s="161"/>
      <c r="AM146" s="162"/>
      <c r="AN146" s="161"/>
      <c r="AO146" s="162">
        <v>1</v>
      </c>
      <c r="AP146" s="161">
        <v>13.16</v>
      </c>
      <c r="AQ146" s="165">
        <v>5</v>
      </c>
      <c r="AR146" s="166">
        <v>3.800946645901639</v>
      </c>
      <c r="AS146" s="162"/>
      <c r="AT146" s="161"/>
      <c r="AU146" s="162"/>
      <c r="AV146" s="167"/>
      <c r="AW146" s="168"/>
      <c r="AX146" s="168"/>
      <c r="AY146" s="168"/>
      <c r="AZ146" s="162"/>
      <c r="BA146" s="161"/>
      <c r="BB146" s="169"/>
      <c r="BC146" s="170">
        <v>3.7418574939999996</v>
      </c>
      <c r="BD146" s="153">
        <f t="shared" si="12"/>
        <v>156.70797799154161</v>
      </c>
      <c r="BE146" s="154">
        <f t="shared" si="10"/>
        <v>39.345091879599998</v>
      </c>
      <c r="BF146" s="155">
        <f t="shared" si="11"/>
        <v>68.152000000000001</v>
      </c>
      <c r="BG146" s="149">
        <f t="shared" si="13"/>
        <v>9.2769999999999992</v>
      </c>
      <c r="BH146" s="154"/>
      <c r="BI146" s="155"/>
      <c r="BJ146" s="155"/>
      <c r="BK146" s="155"/>
      <c r="BL146" s="155">
        <v>3.0000000000000001E-3</v>
      </c>
      <c r="BM146" s="155">
        <v>2.9930918796000001</v>
      </c>
      <c r="BN146" s="155">
        <v>2E-3</v>
      </c>
      <c r="BO146" s="155">
        <v>1.8460000000000001</v>
      </c>
      <c r="BP146" s="171"/>
      <c r="BQ146" s="155"/>
      <c r="BR146" s="155">
        <v>43</v>
      </c>
      <c r="BS146" s="167">
        <v>34.506</v>
      </c>
      <c r="BT146" s="154">
        <v>5.6000000000000001E-2</v>
      </c>
      <c r="BU146" s="155">
        <v>51.31</v>
      </c>
      <c r="BV146" s="155">
        <v>7</v>
      </c>
      <c r="BW146" s="155">
        <v>1.7729999999999999</v>
      </c>
      <c r="BX146" s="159">
        <v>2</v>
      </c>
      <c r="BY146" s="155">
        <v>5.7919999999999998</v>
      </c>
      <c r="BZ146" s="155">
        <v>52</v>
      </c>
      <c r="CA146" s="167">
        <v>9.2769999999999992</v>
      </c>
    </row>
    <row r="147" spans="1:79">
      <c r="A147" s="132"/>
      <c r="B147" s="173" t="s">
        <v>200</v>
      </c>
      <c r="C147" s="134"/>
      <c r="D147" s="135"/>
      <c r="E147" s="136"/>
      <c r="F147" s="137"/>
      <c r="G147" s="137"/>
      <c r="H147" s="137"/>
      <c r="I147" s="137"/>
      <c r="J147" s="137"/>
      <c r="K147" s="138"/>
      <c r="L147" s="139"/>
      <c r="M147" s="140"/>
      <c r="N147" s="154"/>
      <c r="O147" s="155"/>
      <c r="P147" s="155"/>
      <c r="Q147" s="155"/>
      <c r="R147" s="162">
        <v>1</v>
      </c>
      <c r="S147" s="163">
        <v>0.10409075</v>
      </c>
      <c r="T147" s="163"/>
      <c r="U147" s="163"/>
      <c r="V147" s="163"/>
      <c r="W147" s="161"/>
      <c r="X147" s="162"/>
      <c r="Y147" s="161"/>
      <c r="Z147" s="162">
        <v>1E-3</v>
      </c>
      <c r="AA147" s="164"/>
      <c r="AB147" s="161">
        <v>0.12267663000000001</v>
      </c>
      <c r="AC147" s="162"/>
      <c r="AD147" s="161"/>
      <c r="AE147" s="162"/>
      <c r="AF147" s="161"/>
      <c r="AG147" s="162"/>
      <c r="AH147" s="161"/>
      <c r="AI147" s="162">
        <v>16</v>
      </c>
      <c r="AJ147" s="163">
        <v>10.385876897999999</v>
      </c>
      <c r="AK147" s="162"/>
      <c r="AL147" s="161"/>
      <c r="AM147" s="162"/>
      <c r="AN147" s="161"/>
      <c r="AO147" s="162"/>
      <c r="AP147" s="161"/>
      <c r="AQ147" s="165"/>
      <c r="AR147" s="166"/>
      <c r="AS147" s="162"/>
      <c r="AT147" s="161"/>
      <c r="AU147" s="162"/>
      <c r="AV147" s="167"/>
      <c r="AW147" s="168"/>
      <c r="AX147" s="168"/>
      <c r="AY147" s="168"/>
      <c r="AZ147" s="162"/>
      <c r="BA147" s="161"/>
      <c r="BB147" s="169"/>
      <c r="BC147" s="170">
        <v>4.5028910580000003</v>
      </c>
      <c r="BD147" s="153">
        <f t="shared" si="12"/>
        <v>69.848114778299987</v>
      </c>
      <c r="BE147" s="154">
        <f t="shared" si="10"/>
        <v>42.224579442299998</v>
      </c>
      <c r="BF147" s="155">
        <f t="shared" si="11"/>
        <v>8.9969999999999999</v>
      </c>
      <c r="BG147" s="149">
        <f t="shared" si="13"/>
        <v>3.5110000000000001</v>
      </c>
      <c r="BH147" s="154"/>
      <c r="BI147" s="155"/>
      <c r="BJ147" s="155">
        <v>7.0000000000000001E-3</v>
      </c>
      <c r="BK147" s="155">
        <v>5.2969974423000004</v>
      </c>
      <c r="BL147" s="155">
        <v>2E-3</v>
      </c>
      <c r="BM147" s="155">
        <v>3.501582</v>
      </c>
      <c r="BN147" s="155">
        <v>2E-3</v>
      </c>
      <c r="BO147" s="155">
        <v>0.95899999999999996</v>
      </c>
      <c r="BP147" s="171"/>
      <c r="BQ147" s="155"/>
      <c r="BR147" s="155">
        <v>22</v>
      </c>
      <c r="BS147" s="167">
        <v>32.466999999999999</v>
      </c>
      <c r="BT147" s="154">
        <v>3.0000000000000001E-3</v>
      </c>
      <c r="BU147" s="155">
        <v>2.2850000000000001</v>
      </c>
      <c r="BV147" s="155">
        <v>3</v>
      </c>
      <c r="BW147" s="155">
        <v>0.621</v>
      </c>
      <c r="BX147" s="159">
        <v>1</v>
      </c>
      <c r="BY147" s="155">
        <v>2.58</v>
      </c>
      <c r="BZ147" s="155">
        <v>28</v>
      </c>
      <c r="CA147" s="167">
        <v>3.5110000000000001</v>
      </c>
    </row>
    <row r="148" spans="1:79">
      <c r="A148" s="132"/>
      <c r="B148" s="173" t="s">
        <v>201</v>
      </c>
      <c r="C148" s="134"/>
      <c r="D148" s="135"/>
      <c r="E148" s="136"/>
      <c r="F148" s="137"/>
      <c r="G148" s="137"/>
      <c r="H148" s="137"/>
      <c r="I148" s="137"/>
      <c r="J148" s="137"/>
      <c r="K148" s="138"/>
      <c r="L148" s="139"/>
      <c r="M148" s="140"/>
      <c r="N148" s="154"/>
      <c r="O148" s="155"/>
      <c r="P148" s="155"/>
      <c r="Q148" s="155"/>
      <c r="R148" s="162"/>
      <c r="S148" s="163"/>
      <c r="T148" s="163"/>
      <c r="U148" s="163"/>
      <c r="V148" s="163"/>
      <c r="W148" s="161"/>
      <c r="X148" s="162"/>
      <c r="Y148" s="161"/>
      <c r="Z148" s="162">
        <v>1.8E-3</v>
      </c>
      <c r="AA148" s="164">
        <f t="shared" si="14"/>
        <v>7.6608666699999994E-2</v>
      </c>
      <c r="AB148" s="161">
        <v>0.21019866669999998</v>
      </c>
      <c r="AC148" s="162"/>
      <c r="AD148" s="161"/>
      <c r="AE148" s="162"/>
      <c r="AF148" s="161"/>
      <c r="AG148" s="162"/>
      <c r="AH148" s="161"/>
      <c r="AI148" s="162"/>
      <c r="AJ148" s="163"/>
      <c r="AK148" s="162"/>
      <c r="AL148" s="161"/>
      <c r="AM148" s="162"/>
      <c r="AN148" s="161"/>
      <c r="AO148" s="162"/>
      <c r="AP148" s="161"/>
      <c r="AQ148" s="165">
        <v>3</v>
      </c>
      <c r="AR148" s="166">
        <v>1.8959047439999999</v>
      </c>
      <c r="AS148" s="162"/>
      <c r="AT148" s="161"/>
      <c r="AU148" s="162"/>
      <c r="AV148" s="167"/>
      <c r="AW148" s="168"/>
      <c r="AX148" s="168"/>
      <c r="AY148" s="168"/>
      <c r="AZ148" s="162"/>
      <c r="BA148" s="161"/>
      <c r="BB148" s="169"/>
      <c r="BC148" s="170">
        <v>4.7859999999999996</v>
      </c>
      <c r="BD148" s="153">
        <f t="shared" si="12"/>
        <v>38.403103410699998</v>
      </c>
      <c r="BE148" s="154">
        <f t="shared" si="10"/>
        <v>27.157</v>
      </c>
      <c r="BF148" s="155">
        <f t="shared" si="11"/>
        <v>2.2510000000000003</v>
      </c>
      <c r="BG148" s="149">
        <f t="shared" si="13"/>
        <v>2.1030000000000002</v>
      </c>
      <c r="BH148" s="154"/>
      <c r="BI148" s="155"/>
      <c r="BJ148" s="155"/>
      <c r="BK148" s="155"/>
      <c r="BL148" s="155"/>
      <c r="BM148" s="155"/>
      <c r="BN148" s="155">
        <v>2E-3</v>
      </c>
      <c r="BO148" s="155">
        <v>0.95899999999999996</v>
      </c>
      <c r="BP148" s="171"/>
      <c r="BQ148" s="155"/>
      <c r="BR148" s="155">
        <v>18</v>
      </c>
      <c r="BS148" s="167">
        <v>26.198</v>
      </c>
      <c r="BT148" s="154"/>
      <c r="BU148" s="155"/>
      <c r="BV148" s="155">
        <v>1</v>
      </c>
      <c r="BW148" s="155">
        <v>0.14799999999999999</v>
      </c>
      <c r="BX148" s="159"/>
      <c r="BY148" s="155"/>
      <c r="BZ148" s="155">
        <v>14</v>
      </c>
      <c r="CA148" s="167">
        <v>2.1030000000000002</v>
      </c>
    </row>
    <row r="149" spans="1:79">
      <c r="A149" s="132"/>
      <c r="B149" s="173" t="s">
        <v>202</v>
      </c>
      <c r="C149" s="134"/>
      <c r="D149" s="135"/>
      <c r="E149" s="136"/>
      <c r="F149" s="137"/>
      <c r="G149" s="137"/>
      <c r="H149" s="137"/>
      <c r="I149" s="137"/>
      <c r="J149" s="137"/>
      <c r="K149" s="138"/>
      <c r="L149" s="139"/>
      <c r="M149" s="140"/>
      <c r="N149" s="154"/>
      <c r="O149" s="155"/>
      <c r="P149" s="155"/>
      <c r="Q149" s="155"/>
      <c r="R149" s="162"/>
      <c r="S149" s="163"/>
      <c r="T149" s="163"/>
      <c r="U149" s="163"/>
      <c r="V149" s="163"/>
      <c r="W149" s="161"/>
      <c r="X149" s="162"/>
      <c r="Y149" s="161"/>
      <c r="Z149" s="162">
        <v>2E-3</v>
      </c>
      <c r="AA149" s="164">
        <f t="shared" si="14"/>
        <v>1.1071412056000001</v>
      </c>
      <c r="AB149" s="161">
        <v>1.2407312056000002</v>
      </c>
      <c r="AC149" s="162">
        <v>2E-3</v>
      </c>
      <c r="AD149" s="161">
        <v>1.2407319999999999</v>
      </c>
      <c r="AE149" s="162"/>
      <c r="AF149" s="161"/>
      <c r="AG149" s="162"/>
      <c r="AH149" s="161"/>
      <c r="AI149" s="162">
        <v>21</v>
      </c>
      <c r="AJ149" s="163">
        <v>13.860301388</v>
      </c>
      <c r="AK149" s="162"/>
      <c r="AL149" s="161"/>
      <c r="AM149" s="162">
        <v>1</v>
      </c>
      <c r="AN149" s="161">
        <v>2.0859028570000002</v>
      </c>
      <c r="AO149" s="162"/>
      <c r="AP149" s="161"/>
      <c r="AQ149" s="165"/>
      <c r="AR149" s="166"/>
      <c r="AS149" s="162">
        <v>5.0000000000000001E-3</v>
      </c>
      <c r="AT149" s="161">
        <v>14.831144999999999</v>
      </c>
      <c r="AU149" s="162"/>
      <c r="AV149" s="167"/>
      <c r="AW149" s="168"/>
      <c r="AX149" s="168"/>
      <c r="AY149" s="168"/>
      <c r="AZ149" s="162"/>
      <c r="BA149" s="161"/>
      <c r="BB149" s="169"/>
      <c r="BC149" s="170">
        <v>0.66507241399999995</v>
      </c>
      <c r="BD149" s="153">
        <f t="shared" si="12"/>
        <v>81.634048864600004</v>
      </c>
      <c r="BE149" s="154">
        <f t="shared" si="10"/>
        <v>33.294164000000002</v>
      </c>
      <c r="BF149" s="155">
        <f t="shared" si="11"/>
        <v>8.1509999999999998</v>
      </c>
      <c r="BG149" s="149">
        <f t="shared" si="13"/>
        <v>6.2649999999999997</v>
      </c>
      <c r="BH149" s="154"/>
      <c r="BI149" s="155"/>
      <c r="BJ149" s="155"/>
      <c r="BK149" s="155"/>
      <c r="BL149" s="155">
        <v>4.0000000000000001E-3</v>
      </c>
      <c r="BM149" s="155">
        <v>7.0031639999999999</v>
      </c>
      <c r="BN149" s="155">
        <v>2E-3</v>
      </c>
      <c r="BO149" s="155">
        <v>0.95899999999999996</v>
      </c>
      <c r="BP149" s="171"/>
      <c r="BQ149" s="155"/>
      <c r="BR149" s="155">
        <v>17</v>
      </c>
      <c r="BS149" s="167">
        <v>25.332000000000001</v>
      </c>
      <c r="BT149" s="154">
        <v>4.0000000000000001E-3</v>
      </c>
      <c r="BU149" s="155">
        <v>1.0289999999999999</v>
      </c>
      <c r="BV149" s="155">
        <v>4</v>
      </c>
      <c r="BW149" s="155">
        <v>0.85699999999999998</v>
      </c>
      <c r="BX149" s="159"/>
      <c r="BY149" s="155"/>
      <c r="BZ149" s="155">
        <v>33</v>
      </c>
      <c r="CA149" s="167">
        <v>6.2649999999999997</v>
      </c>
    </row>
    <row r="150" spans="1:79">
      <c r="A150" s="132"/>
      <c r="B150" s="173" t="s">
        <v>203</v>
      </c>
      <c r="C150" s="134"/>
      <c r="D150" s="135"/>
      <c r="E150" s="136"/>
      <c r="F150" s="137"/>
      <c r="G150" s="137"/>
      <c r="H150" s="137"/>
      <c r="I150" s="137"/>
      <c r="J150" s="137"/>
      <c r="K150" s="138"/>
      <c r="L150" s="139"/>
      <c r="M150" s="140"/>
      <c r="N150" s="154">
        <v>4.0000000000000002E-4</v>
      </c>
      <c r="O150" s="155">
        <v>0.20730959640000002</v>
      </c>
      <c r="P150" s="155"/>
      <c r="Q150" s="155"/>
      <c r="R150" s="162">
        <v>1</v>
      </c>
      <c r="S150" s="163">
        <v>0.77898204800000004</v>
      </c>
      <c r="T150" s="163">
        <v>12</v>
      </c>
      <c r="U150" s="163">
        <v>0.56599999999999995</v>
      </c>
      <c r="V150" s="163"/>
      <c r="W150" s="161"/>
      <c r="X150" s="162"/>
      <c r="Y150" s="161"/>
      <c r="Z150" s="162">
        <v>0.10299999999999999</v>
      </c>
      <c r="AA150" s="164">
        <f t="shared" si="14"/>
        <v>29.39893</v>
      </c>
      <c r="AB150" s="161">
        <v>29.532520000000002</v>
      </c>
      <c r="AC150" s="162"/>
      <c r="AD150" s="161"/>
      <c r="AE150" s="162"/>
      <c r="AF150" s="161"/>
      <c r="AG150" s="162"/>
      <c r="AH150" s="161"/>
      <c r="AI150" s="162">
        <v>33</v>
      </c>
      <c r="AJ150" s="163">
        <v>19.088291005000002</v>
      </c>
      <c r="AK150" s="162"/>
      <c r="AL150" s="161"/>
      <c r="AM150" s="162"/>
      <c r="AN150" s="161"/>
      <c r="AO150" s="162"/>
      <c r="AP150" s="161"/>
      <c r="AQ150" s="165">
        <v>29</v>
      </c>
      <c r="AR150" s="166">
        <v>13.67609367440101</v>
      </c>
      <c r="AS150" s="162">
        <v>0.17412000000000002</v>
      </c>
      <c r="AT150" s="161">
        <v>278.35469176120006</v>
      </c>
      <c r="AU150" s="162"/>
      <c r="AV150" s="167"/>
      <c r="AW150" s="168"/>
      <c r="AX150" s="168"/>
      <c r="AY150" s="168"/>
      <c r="AZ150" s="162"/>
      <c r="BA150" s="161"/>
      <c r="BB150" s="169"/>
      <c r="BC150" s="170">
        <v>9.9621995754399997</v>
      </c>
      <c r="BD150" s="153">
        <f t="shared" si="12"/>
        <v>437.23516330669111</v>
      </c>
      <c r="BE150" s="154">
        <f t="shared" si="10"/>
        <v>43.006075646249997</v>
      </c>
      <c r="BF150" s="155">
        <f t="shared" si="11"/>
        <v>23.286999999999999</v>
      </c>
      <c r="BG150" s="149">
        <f t="shared" si="13"/>
        <v>18.776</v>
      </c>
      <c r="BH150" s="154"/>
      <c r="BI150" s="155"/>
      <c r="BJ150" s="155">
        <v>2.5000000000000001E-3</v>
      </c>
      <c r="BK150" s="155">
        <v>1.71207564625</v>
      </c>
      <c r="BL150" s="155"/>
      <c r="BM150" s="155"/>
      <c r="BN150" s="155">
        <v>0.01</v>
      </c>
      <c r="BO150" s="155">
        <v>10.324</v>
      </c>
      <c r="BP150" s="171"/>
      <c r="BQ150" s="155"/>
      <c r="BR150" s="155">
        <v>30</v>
      </c>
      <c r="BS150" s="167">
        <v>30.97</v>
      </c>
      <c r="BT150" s="154">
        <v>6.0000000000000001E-3</v>
      </c>
      <c r="BU150" s="155">
        <v>1.298</v>
      </c>
      <c r="BV150" s="155">
        <v>2</v>
      </c>
      <c r="BW150" s="155">
        <v>0.52300000000000002</v>
      </c>
      <c r="BX150" s="159">
        <v>1</v>
      </c>
      <c r="BY150" s="155">
        <v>2.69</v>
      </c>
      <c r="BZ150" s="155">
        <v>82</v>
      </c>
      <c r="CA150" s="167">
        <v>18.776</v>
      </c>
    </row>
    <row r="151" spans="1:79">
      <c r="A151" s="132"/>
      <c r="B151" s="173" t="s">
        <v>204</v>
      </c>
      <c r="C151" s="134"/>
      <c r="D151" s="135"/>
      <c r="E151" s="136"/>
      <c r="F151" s="137"/>
      <c r="G151" s="137"/>
      <c r="H151" s="137"/>
      <c r="I151" s="137"/>
      <c r="J151" s="137"/>
      <c r="K151" s="138"/>
      <c r="L151" s="139"/>
      <c r="M151" s="140"/>
      <c r="N151" s="154"/>
      <c r="O151" s="155"/>
      <c r="P151" s="155"/>
      <c r="Q151" s="155"/>
      <c r="R151" s="162">
        <v>2</v>
      </c>
      <c r="S151" s="163">
        <v>0.36195588200000001</v>
      </c>
      <c r="T151" s="163">
        <v>8</v>
      </c>
      <c r="U151" s="163">
        <v>4.1100000000000003</v>
      </c>
      <c r="V151" s="163"/>
      <c r="W151" s="161"/>
      <c r="X151" s="162"/>
      <c r="Y151" s="161"/>
      <c r="Z151" s="162">
        <v>8.1000000000000003E-2</v>
      </c>
      <c r="AA151" s="164">
        <f t="shared" si="14"/>
        <v>21.938109999999998</v>
      </c>
      <c r="AB151" s="161">
        <v>22.0717</v>
      </c>
      <c r="AC151" s="162"/>
      <c r="AD151" s="161"/>
      <c r="AE151" s="162"/>
      <c r="AF151" s="161"/>
      <c r="AG151" s="162"/>
      <c r="AH151" s="161"/>
      <c r="AI151" s="162">
        <v>12</v>
      </c>
      <c r="AJ151" s="163">
        <v>7.7273094780000005</v>
      </c>
      <c r="AK151" s="162"/>
      <c r="AL151" s="161"/>
      <c r="AM151" s="162">
        <v>1</v>
      </c>
      <c r="AN151" s="161">
        <v>0.5454</v>
      </c>
      <c r="AO151" s="162"/>
      <c r="AP151" s="161"/>
      <c r="AQ151" s="165">
        <v>6</v>
      </c>
      <c r="AR151" s="166">
        <v>4.5721489880000004</v>
      </c>
      <c r="AS151" s="162"/>
      <c r="AT151" s="161"/>
      <c r="AU151" s="162"/>
      <c r="AV151" s="167"/>
      <c r="AW151" s="168"/>
      <c r="AX151" s="168"/>
      <c r="AY151" s="168"/>
      <c r="AZ151" s="162"/>
      <c r="BA151" s="161"/>
      <c r="BB151" s="169"/>
      <c r="BC151" s="170">
        <v>1.7097130690000002</v>
      </c>
      <c r="BD151" s="153">
        <f t="shared" si="12"/>
        <v>92.870608898400008</v>
      </c>
      <c r="BE151" s="154">
        <f t="shared" si="10"/>
        <v>32.763381481400003</v>
      </c>
      <c r="BF151" s="155">
        <f t="shared" si="11"/>
        <v>12.193</v>
      </c>
      <c r="BG151" s="149">
        <f t="shared" si="13"/>
        <v>6.8159999999999998</v>
      </c>
      <c r="BH151" s="154">
        <v>2E-3</v>
      </c>
      <c r="BI151" s="155">
        <v>1.8823814813999999</v>
      </c>
      <c r="BJ151" s="155"/>
      <c r="BK151" s="155"/>
      <c r="BL151" s="155"/>
      <c r="BM151" s="155"/>
      <c r="BN151" s="155">
        <v>2E-3</v>
      </c>
      <c r="BO151" s="155">
        <v>1.339</v>
      </c>
      <c r="BP151" s="171"/>
      <c r="BQ151" s="155"/>
      <c r="BR151" s="155">
        <v>25</v>
      </c>
      <c r="BS151" s="167">
        <v>29.542000000000002</v>
      </c>
      <c r="BT151" s="154">
        <v>8.0000000000000002E-3</v>
      </c>
      <c r="BU151" s="155">
        <v>1.73</v>
      </c>
      <c r="BV151" s="155">
        <v>5</v>
      </c>
      <c r="BW151" s="155">
        <v>1.17</v>
      </c>
      <c r="BX151" s="159">
        <v>1</v>
      </c>
      <c r="BY151" s="155">
        <v>2.4769999999999999</v>
      </c>
      <c r="BZ151" s="155">
        <v>53</v>
      </c>
      <c r="CA151" s="167">
        <v>6.8159999999999998</v>
      </c>
    </row>
    <row r="152" spans="1:79">
      <c r="A152" s="132"/>
      <c r="B152" s="173" t="s">
        <v>205</v>
      </c>
      <c r="C152" s="134"/>
      <c r="D152" s="135"/>
      <c r="E152" s="136"/>
      <c r="F152" s="137"/>
      <c r="G152" s="137"/>
      <c r="H152" s="137"/>
      <c r="I152" s="137"/>
      <c r="J152" s="137"/>
      <c r="K152" s="138"/>
      <c r="L152" s="139"/>
      <c r="M152" s="140"/>
      <c r="N152" s="154"/>
      <c r="O152" s="155"/>
      <c r="P152" s="155"/>
      <c r="Q152" s="155"/>
      <c r="R152" s="162">
        <v>1</v>
      </c>
      <c r="S152" s="163">
        <v>0.180977941</v>
      </c>
      <c r="T152" s="163">
        <v>6</v>
      </c>
      <c r="U152" s="163">
        <v>3.0830000000000002</v>
      </c>
      <c r="V152" s="163"/>
      <c r="W152" s="161"/>
      <c r="X152" s="162"/>
      <c r="Y152" s="161"/>
      <c r="Z152" s="162"/>
      <c r="AA152" s="164"/>
      <c r="AB152" s="161"/>
      <c r="AC152" s="162">
        <v>6.1699999999999998E-2</v>
      </c>
      <c r="AD152" s="161">
        <v>10.220846792388</v>
      </c>
      <c r="AE152" s="162"/>
      <c r="AF152" s="161"/>
      <c r="AG152" s="162"/>
      <c r="AH152" s="161"/>
      <c r="AI152" s="162">
        <v>8</v>
      </c>
      <c r="AJ152" s="163">
        <v>6.4818843040000003</v>
      </c>
      <c r="AK152" s="162"/>
      <c r="AL152" s="161"/>
      <c r="AM152" s="162"/>
      <c r="AN152" s="161"/>
      <c r="AO152" s="162"/>
      <c r="AP152" s="161"/>
      <c r="AQ152" s="165">
        <v>3</v>
      </c>
      <c r="AR152" s="166">
        <v>0.76343879999999986</v>
      </c>
      <c r="AS152" s="162">
        <v>2.2000000000000001E-3</v>
      </c>
      <c r="AT152" s="161">
        <v>3.5100715870000001</v>
      </c>
      <c r="AU152" s="162"/>
      <c r="AV152" s="167"/>
      <c r="AW152" s="168"/>
      <c r="AX152" s="168"/>
      <c r="AY152" s="168"/>
      <c r="AZ152" s="162"/>
      <c r="BA152" s="161"/>
      <c r="BB152" s="169"/>
      <c r="BC152" s="170">
        <v>5.7760270269999996</v>
      </c>
      <c r="BD152" s="153">
        <f t="shared" si="12"/>
        <v>62.502246451388004</v>
      </c>
      <c r="BE152" s="154">
        <f t="shared" si="10"/>
        <v>26.185000000000002</v>
      </c>
      <c r="BF152" s="155">
        <f t="shared" si="11"/>
        <v>5.0030000000000001</v>
      </c>
      <c r="BG152" s="149">
        <f t="shared" si="13"/>
        <v>1.298</v>
      </c>
      <c r="BH152" s="154"/>
      <c r="BI152" s="155"/>
      <c r="BJ152" s="155"/>
      <c r="BK152" s="155"/>
      <c r="BL152" s="155"/>
      <c r="BM152" s="155"/>
      <c r="BN152" s="155">
        <v>0.02</v>
      </c>
      <c r="BO152" s="155">
        <v>14.143000000000001</v>
      </c>
      <c r="BP152" s="171"/>
      <c r="BQ152" s="155"/>
      <c r="BR152" s="155">
        <v>8</v>
      </c>
      <c r="BS152" s="167">
        <v>12.042</v>
      </c>
      <c r="BT152" s="154">
        <v>1.6E-2</v>
      </c>
      <c r="BU152" s="155">
        <v>3.4609999999999999</v>
      </c>
      <c r="BV152" s="155">
        <v>1</v>
      </c>
      <c r="BW152" s="155">
        <v>0.24399999999999999</v>
      </c>
      <c r="BX152" s="159"/>
      <c r="BY152" s="155"/>
      <c r="BZ152" s="155">
        <v>6</v>
      </c>
      <c r="CA152" s="167">
        <v>1.298</v>
      </c>
    </row>
    <row r="153" spans="1:79">
      <c r="A153" s="132"/>
      <c r="B153" s="160" t="s">
        <v>206</v>
      </c>
      <c r="C153" s="134"/>
      <c r="D153" s="135"/>
      <c r="E153" s="136"/>
      <c r="F153" s="137"/>
      <c r="G153" s="137"/>
      <c r="H153" s="137"/>
      <c r="I153" s="137"/>
      <c r="J153" s="137"/>
      <c r="K153" s="138"/>
      <c r="L153" s="139"/>
      <c r="M153" s="140"/>
      <c r="N153" s="154"/>
      <c r="O153" s="155"/>
      <c r="P153" s="155"/>
      <c r="Q153" s="155"/>
      <c r="R153" s="162">
        <v>2</v>
      </c>
      <c r="S153" s="163">
        <v>0.36195588200000001</v>
      </c>
      <c r="T153" s="163"/>
      <c r="U153" s="163"/>
      <c r="V153" s="163"/>
      <c r="W153" s="161"/>
      <c r="X153" s="162"/>
      <c r="Y153" s="161"/>
      <c r="Z153" s="162">
        <v>1E-3</v>
      </c>
      <c r="AA153" s="164">
        <f t="shared" si="14"/>
        <v>2.1776922000000004E-2</v>
      </c>
      <c r="AB153" s="161">
        <v>0.15536692199999999</v>
      </c>
      <c r="AC153" s="162">
        <v>4.4000000000000003E-3</v>
      </c>
      <c r="AD153" s="161">
        <v>0.81439936248</v>
      </c>
      <c r="AE153" s="162"/>
      <c r="AF153" s="161"/>
      <c r="AG153" s="162"/>
      <c r="AH153" s="161"/>
      <c r="AI153" s="162">
        <v>7</v>
      </c>
      <c r="AJ153" s="163">
        <v>4.864194286</v>
      </c>
      <c r="AK153" s="162"/>
      <c r="AL153" s="161"/>
      <c r="AM153" s="162"/>
      <c r="AN153" s="161"/>
      <c r="AO153" s="162"/>
      <c r="AP153" s="161"/>
      <c r="AQ153" s="165">
        <v>2</v>
      </c>
      <c r="AR153" s="166">
        <v>1.54</v>
      </c>
      <c r="AS153" s="162">
        <v>2.2000000000000001E-3</v>
      </c>
      <c r="AT153" s="161">
        <v>3.5100715870000001</v>
      </c>
      <c r="AU153" s="162"/>
      <c r="AV153" s="167"/>
      <c r="AW153" s="168"/>
      <c r="AX153" s="168"/>
      <c r="AY153" s="168"/>
      <c r="AZ153" s="162"/>
      <c r="BA153" s="161"/>
      <c r="BB153" s="169"/>
      <c r="BC153" s="170">
        <v>0.43780799999999997</v>
      </c>
      <c r="BD153" s="153">
        <f t="shared" si="12"/>
        <v>27.043350564480001</v>
      </c>
      <c r="BE153" s="154">
        <f t="shared" si="10"/>
        <v>6.4645545249999996</v>
      </c>
      <c r="BF153" s="155">
        <f t="shared" si="11"/>
        <v>5.8689999999999998</v>
      </c>
      <c r="BG153" s="149">
        <f t="shared" si="13"/>
        <v>3.0259999999999998</v>
      </c>
      <c r="BH153" s="154"/>
      <c r="BI153" s="155"/>
      <c r="BJ153" s="155"/>
      <c r="BK153" s="155"/>
      <c r="BL153" s="155">
        <v>3.5000000000000001E-3</v>
      </c>
      <c r="BM153" s="155">
        <v>2.1435545249999999</v>
      </c>
      <c r="BN153" s="155"/>
      <c r="BO153" s="155"/>
      <c r="BP153" s="171"/>
      <c r="BQ153" s="155"/>
      <c r="BR153" s="155">
        <v>4</v>
      </c>
      <c r="BS153" s="167">
        <v>4.3209999999999997</v>
      </c>
      <c r="BT153" s="154"/>
      <c r="BU153" s="155"/>
      <c r="BV153" s="155">
        <v>4</v>
      </c>
      <c r="BW153" s="155">
        <v>1.1080000000000001</v>
      </c>
      <c r="BX153" s="159">
        <v>1</v>
      </c>
      <c r="BY153" s="155">
        <v>1.7350000000000001</v>
      </c>
      <c r="BZ153" s="155">
        <v>29</v>
      </c>
      <c r="CA153" s="167">
        <v>3.0259999999999998</v>
      </c>
    </row>
    <row r="154" spans="1:79">
      <c r="A154" s="132"/>
      <c r="B154" s="160" t="s">
        <v>207</v>
      </c>
      <c r="C154" s="134"/>
      <c r="D154" s="135"/>
      <c r="E154" s="136"/>
      <c r="F154" s="137"/>
      <c r="G154" s="137"/>
      <c r="H154" s="137"/>
      <c r="I154" s="137"/>
      <c r="J154" s="137"/>
      <c r="K154" s="138"/>
      <c r="L154" s="139"/>
      <c r="M154" s="140"/>
      <c r="N154" s="154"/>
      <c r="O154" s="155"/>
      <c r="P154" s="155">
        <v>1.2E-2</v>
      </c>
      <c r="Q154" s="155">
        <v>4.2813119999999998</v>
      </c>
      <c r="R154" s="162"/>
      <c r="S154" s="163"/>
      <c r="T154" s="163"/>
      <c r="U154" s="163"/>
      <c r="V154" s="163"/>
      <c r="W154" s="161"/>
      <c r="X154" s="162"/>
      <c r="Y154" s="161"/>
      <c r="Z154" s="162">
        <v>3.6200000000000003E-2</v>
      </c>
      <c r="AA154" s="164">
        <f t="shared" si="14"/>
        <v>12.544129039060001</v>
      </c>
      <c r="AB154" s="161">
        <v>12.677719039060001</v>
      </c>
      <c r="AC154" s="162">
        <v>1.52E-2</v>
      </c>
      <c r="AD154" s="161">
        <v>9.4295632000000005</v>
      </c>
      <c r="AE154" s="162"/>
      <c r="AF154" s="161"/>
      <c r="AG154" s="162">
        <v>5.4000000000000001E-4</v>
      </c>
      <c r="AH154" s="161">
        <v>0.32535448523999999</v>
      </c>
      <c r="AI154" s="162"/>
      <c r="AJ154" s="163"/>
      <c r="AK154" s="162"/>
      <c r="AL154" s="161"/>
      <c r="AM154" s="162"/>
      <c r="AN154" s="161"/>
      <c r="AO154" s="162">
        <v>2</v>
      </c>
      <c r="AP154" s="161">
        <v>26.32</v>
      </c>
      <c r="AQ154" s="165">
        <v>29</v>
      </c>
      <c r="AR154" s="166">
        <v>13.739151918032785</v>
      </c>
      <c r="AS154" s="162">
        <v>3.0000000000000001E-3</v>
      </c>
      <c r="AT154" s="161">
        <v>6.0704741370000006</v>
      </c>
      <c r="AU154" s="162"/>
      <c r="AV154" s="167"/>
      <c r="AW154" s="168"/>
      <c r="AX154" s="168"/>
      <c r="AY154" s="168"/>
      <c r="AZ154" s="162">
        <v>2</v>
      </c>
      <c r="BA154" s="161">
        <v>13.334768408</v>
      </c>
      <c r="BB154" s="169"/>
      <c r="BC154" s="170">
        <v>27.492000000000001</v>
      </c>
      <c r="BD154" s="153">
        <f t="shared" si="12"/>
        <v>229.58142718733282</v>
      </c>
      <c r="BE154" s="154">
        <f t="shared" si="10"/>
        <v>65.454083999999995</v>
      </c>
      <c r="BF154" s="155">
        <f t="shared" si="11"/>
        <v>31.544</v>
      </c>
      <c r="BG154" s="149">
        <f t="shared" si="13"/>
        <v>18.913</v>
      </c>
      <c r="BH154" s="154"/>
      <c r="BI154" s="155"/>
      <c r="BJ154" s="155">
        <v>5.0000000000000001E-3</v>
      </c>
      <c r="BK154" s="155">
        <v>4.2504850000000003</v>
      </c>
      <c r="BL154" s="155">
        <v>1E-3</v>
      </c>
      <c r="BM154" s="155">
        <v>0.5905990000000001</v>
      </c>
      <c r="BN154" s="155">
        <v>4.0000000000000001E-3</v>
      </c>
      <c r="BO154" s="155">
        <v>5.6710000000000003</v>
      </c>
      <c r="BP154" s="171"/>
      <c r="BQ154" s="155"/>
      <c r="BR154" s="155">
        <v>58</v>
      </c>
      <c r="BS154" s="167">
        <v>54.942</v>
      </c>
      <c r="BT154" s="154">
        <v>0.03</v>
      </c>
      <c r="BU154" s="155">
        <v>6.4889999999999999</v>
      </c>
      <c r="BV154" s="155">
        <v>2</v>
      </c>
      <c r="BW154" s="155">
        <v>0.55100000000000005</v>
      </c>
      <c r="BX154" s="159">
        <v>2</v>
      </c>
      <c r="BY154" s="155">
        <v>5.5910000000000002</v>
      </c>
      <c r="BZ154" s="155">
        <v>127</v>
      </c>
      <c r="CA154" s="167">
        <v>18.913</v>
      </c>
    </row>
    <row r="155" spans="1:79">
      <c r="A155" s="132"/>
      <c r="B155" s="160" t="s">
        <v>208</v>
      </c>
      <c r="C155" s="134"/>
      <c r="D155" s="135"/>
      <c r="E155" s="136"/>
      <c r="F155" s="137"/>
      <c r="G155" s="137"/>
      <c r="H155" s="137"/>
      <c r="I155" s="137"/>
      <c r="J155" s="137"/>
      <c r="K155" s="138"/>
      <c r="L155" s="139"/>
      <c r="M155" s="140"/>
      <c r="N155" s="154"/>
      <c r="O155" s="155"/>
      <c r="P155" s="155"/>
      <c r="Q155" s="155"/>
      <c r="R155" s="162"/>
      <c r="S155" s="163"/>
      <c r="T155" s="163"/>
      <c r="U155" s="163"/>
      <c r="V155" s="163"/>
      <c r="W155" s="161"/>
      <c r="X155" s="162"/>
      <c r="Y155" s="161"/>
      <c r="Z155" s="162"/>
      <c r="AA155" s="164"/>
      <c r="AB155" s="161"/>
      <c r="AC155" s="162">
        <v>8.9999999999999998E-4</v>
      </c>
      <c r="AD155" s="161">
        <v>0.16658168777999999</v>
      </c>
      <c r="AE155" s="162"/>
      <c r="AF155" s="161"/>
      <c r="AG155" s="162"/>
      <c r="AH155" s="161"/>
      <c r="AI155" s="162"/>
      <c r="AJ155" s="163"/>
      <c r="AK155" s="162"/>
      <c r="AL155" s="161"/>
      <c r="AM155" s="162"/>
      <c r="AN155" s="161"/>
      <c r="AO155" s="162"/>
      <c r="AP155" s="161"/>
      <c r="AQ155" s="165">
        <v>2</v>
      </c>
      <c r="AR155" s="166">
        <v>2.8336538153846154</v>
      </c>
      <c r="AS155" s="162"/>
      <c r="AT155" s="161"/>
      <c r="AU155" s="162"/>
      <c r="AV155" s="167"/>
      <c r="AW155" s="168"/>
      <c r="AX155" s="168"/>
      <c r="AY155" s="168"/>
      <c r="AZ155" s="162">
        <v>1</v>
      </c>
      <c r="BA155" s="161">
        <v>2.7412475000000001</v>
      </c>
      <c r="BB155" s="169"/>
      <c r="BC155" s="170">
        <v>12.257999999999999</v>
      </c>
      <c r="BD155" s="153">
        <f t="shared" si="12"/>
        <v>153.19138435528461</v>
      </c>
      <c r="BE155" s="154">
        <f t="shared" si="10"/>
        <v>71.061901352120003</v>
      </c>
      <c r="BF155" s="155">
        <f t="shared" si="11"/>
        <v>39.754999999999995</v>
      </c>
      <c r="BG155" s="149">
        <f t="shared" si="13"/>
        <v>24.375</v>
      </c>
      <c r="BH155" s="154"/>
      <c r="BI155" s="155"/>
      <c r="BJ155" s="155">
        <v>1.3000000000000001E-2</v>
      </c>
      <c r="BK155" s="155">
        <v>9.3254065440999998</v>
      </c>
      <c r="BL155" s="155">
        <v>8.6999999999999994E-3</v>
      </c>
      <c r="BM155" s="155">
        <v>6.88349480802</v>
      </c>
      <c r="BN155" s="155">
        <v>6.0000000000000001E-3</v>
      </c>
      <c r="BO155" s="155">
        <v>3.762</v>
      </c>
      <c r="BP155" s="171"/>
      <c r="BQ155" s="155"/>
      <c r="BR155" s="155">
        <v>39</v>
      </c>
      <c r="BS155" s="167">
        <v>51.091000000000001</v>
      </c>
      <c r="BT155" s="154">
        <v>8.0000000000000002E-3</v>
      </c>
      <c r="BU155" s="155">
        <v>2.0590000000000002</v>
      </c>
      <c r="BV155" s="155">
        <v>6</v>
      </c>
      <c r="BW155" s="155">
        <v>1.8360000000000001</v>
      </c>
      <c r="BX155" s="159">
        <v>4</v>
      </c>
      <c r="BY155" s="155">
        <v>11.484999999999999</v>
      </c>
      <c r="BZ155" s="155">
        <v>159</v>
      </c>
      <c r="CA155" s="167">
        <v>24.375</v>
      </c>
    </row>
    <row r="156" spans="1:79">
      <c r="A156" s="132"/>
      <c r="B156" s="160" t="s">
        <v>209</v>
      </c>
      <c r="C156" s="134"/>
      <c r="D156" s="135"/>
      <c r="E156" s="136"/>
      <c r="F156" s="137"/>
      <c r="G156" s="137"/>
      <c r="H156" s="137"/>
      <c r="I156" s="137"/>
      <c r="J156" s="137"/>
      <c r="K156" s="138"/>
      <c r="L156" s="139"/>
      <c r="M156" s="140"/>
      <c r="N156" s="154"/>
      <c r="O156" s="155"/>
      <c r="P156" s="155">
        <v>3.0000000000000001E-3</v>
      </c>
      <c r="Q156" s="155">
        <v>0.53780183200000009</v>
      </c>
      <c r="R156" s="162"/>
      <c r="S156" s="163"/>
      <c r="T156" s="163"/>
      <c r="U156" s="163"/>
      <c r="V156" s="163"/>
      <c r="W156" s="161"/>
      <c r="X156" s="162"/>
      <c r="Y156" s="161"/>
      <c r="Z156" s="162">
        <v>2.0999999999999998E-2</v>
      </c>
      <c r="AA156" s="164">
        <f t="shared" si="14"/>
        <v>2.2615207659999998</v>
      </c>
      <c r="AB156" s="161">
        <v>2.3951107659999997</v>
      </c>
      <c r="AC156" s="162"/>
      <c r="AD156" s="161"/>
      <c r="AE156" s="162"/>
      <c r="AF156" s="161"/>
      <c r="AG156" s="162"/>
      <c r="AH156" s="161"/>
      <c r="AI156" s="162"/>
      <c r="AJ156" s="163"/>
      <c r="AK156" s="162"/>
      <c r="AL156" s="161"/>
      <c r="AM156" s="162">
        <v>1</v>
      </c>
      <c r="AN156" s="161">
        <v>1.922123633</v>
      </c>
      <c r="AO156" s="162"/>
      <c r="AP156" s="161"/>
      <c r="AQ156" s="165">
        <v>8</v>
      </c>
      <c r="AR156" s="166">
        <v>4.7547910426923083</v>
      </c>
      <c r="AS156" s="162">
        <v>0.01</v>
      </c>
      <c r="AT156" s="161">
        <v>5.2136199999999997</v>
      </c>
      <c r="AU156" s="162"/>
      <c r="AV156" s="167"/>
      <c r="AW156" s="168"/>
      <c r="AX156" s="168"/>
      <c r="AY156" s="168"/>
      <c r="AZ156" s="162"/>
      <c r="BA156" s="161"/>
      <c r="BB156" s="169"/>
      <c r="BC156" s="170">
        <v>4.8768737719999997</v>
      </c>
      <c r="BD156" s="153">
        <f t="shared" si="12"/>
        <v>550.12746212069237</v>
      </c>
      <c r="BE156" s="154">
        <f t="shared" si="10"/>
        <v>71.390141075000003</v>
      </c>
      <c r="BF156" s="155">
        <f t="shared" si="11"/>
        <v>439.10400000000004</v>
      </c>
      <c r="BG156" s="149">
        <f t="shared" si="13"/>
        <v>19.933</v>
      </c>
      <c r="BH156" s="154"/>
      <c r="BI156" s="155"/>
      <c r="BJ156" s="155">
        <v>2E-3</v>
      </c>
      <c r="BK156" s="155">
        <v>1.8323455150000001</v>
      </c>
      <c r="BL156" s="155"/>
      <c r="BM156" s="155"/>
      <c r="BN156" s="155">
        <v>7.0000000000000001E-3</v>
      </c>
      <c r="BO156" s="155">
        <v>33.576000000000001</v>
      </c>
      <c r="BP156" s="171">
        <v>1</v>
      </c>
      <c r="BQ156" s="155">
        <v>3.6517955600000001</v>
      </c>
      <c r="BR156" s="155">
        <v>29</v>
      </c>
      <c r="BS156" s="167">
        <v>32.33</v>
      </c>
      <c r="BT156" s="154">
        <v>1.2E-2</v>
      </c>
      <c r="BU156" s="155">
        <v>1.218</v>
      </c>
      <c r="BV156" s="155">
        <v>29</v>
      </c>
      <c r="BW156" s="155">
        <v>380.92700000000002</v>
      </c>
      <c r="BX156" s="159">
        <v>21</v>
      </c>
      <c r="BY156" s="155">
        <v>37.026000000000003</v>
      </c>
      <c r="BZ156" s="155">
        <v>112</v>
      </c>
      <c r="CA156" s="167">
        <v>19.933</v>
      </c>
    </row>
    <row r="157" spans="1:79">
      <c r="A157" s="132"/>
      <c r="B157" s="160" t="s">
        <v>210</v>
      </c>
      <c r="C157" s="134"/>
      <c r="D157" s="135"/>
      <c r="E157" s="136"/>
      <c r="F157" s="137"/>
      <c r="G157" s="137"/>
      <c r="H157" s="137"/>
      <c r="I157" s="137"/>
      <c r="J157" s="137"/>
      <c r="K157" s="138"/>
      <c r="L157" s="139"/>
      <c r="M157" s="140"/>
      <c r="N157" s="154"/>
      <c r="O157" s="155"/>
      <c r="P157" s="155"/>
      <c r="Q157" s="155"/>
      <c r="R157" s="162"/>
      <c r="S157" s="163"/>
      <c r="T157" s="163"/>
      <c r="U157" s="163"/>
      <c r="V157" s="163"/>
      <c r="W157" s="161"/>
      <c r="X157" s="162"/>
      <c r="Y157" s="161"/>
      <c r="Z157" s="162">
        <v>2E-3</v>
      </c>
      <c r="AA157" s="164">
        <f t="shared" si="14"/>
        <v>6.339800000000001E-2</v>
      </c>
      <c r="AB157" s="161">
        <v>0.196988</v>
      </c>
      <c r="AC157" s="162"/>
      <c r="AD157" s="161"/>
      <c r="AE157" s="162"/>
      <c r="AF157" s="161"/>
      <c r="AG157" s="162"/>
      <c r="AH157" s="161"/>
      <c r="AI157" s="162"/>
      <c r="AJ157" s="163"/>
      <c r="AK157" s="162"/>
      <c r="AL157" s="161"/>
      <c r="AM157" s="162">
        <v>2</v>
      </c>
      <c r="AN157" s="161">
        <v>3.8790984000000002</v>
      </c>
      <c r="AO157" s="162"/>
      <c r="AP157" s="161"/>
      <c r="AQ157" s="165">
        <v>5</v>
      </c>
      <c r="AR157" s="166">
        <v>2.7155022999999998</v>
      </c>
      <c r="AS157" s="162"/>
      <c r="AT157" s="161"/>
      <c r="AU157" s="162"/>
      <c r="AV157" s="167"/>
      <c r="AW157" s="168"/>
      <c r="AX157" s="168"/>
      <c r="AY157" s="168"/>
      <c r="AZ157" s="162"/>
      <c r="BA157" s="161"/>
      <c r="BB157" s="169"/>
      <c r="BC157" s="170">
        <v>17.123999999999999</v>
      </c>
      <c r="BD157" s="153">
        <f t="shared" si="12"/>
        <v>104.62175350019999</v>
      </c>
      <c r="BE157" s="154">
        <f t="shared" si="10"/>
        <v>47.244164800199997</v>
      </c>
      <c r="BF157" s="155">
        <f t="shared" si="11"/>
        <v>21.535</v>
      </c>
      <c r="BG157" s="149">
        <f t="shared" si="13"/>
        <v>11.927</v>
      </c>
      <c r="BH157" s="154"/>
      <c r="BI157" s="155"/>
      <c r="BJ157" s="155">
        <v>6.0000000000000001E-3</v>
      </c>
      <c r="BK157" s="155">
        <v>4.1971648002000004</v>
      </c>
      <c r="BL157" s="155"/>
      <c r="BM157" s="155"/>
      <c r="BN157" s="155">
        <v>6.0000000000000001E-3</v>
      </c>
      <c r="BO157" s="155">
        <v>3.1040000000000001</v>
      </c>
      <c r="BP157" s="171"/>
      <c r="BQ157" s="155"/>
      <c r="BR157" s="155">
        <v>32</v>
      </c>
      <c r="BS157" s="167">
        <v>39.942999999999998</v>
      </c>
      <c r="BT157" s="154">
        <v>0.01</v>
      </c>
      <c r="BU157" s="155">
        <v>2.573</v>
      </c>
      <c r="BV157" s="155">
        <v>3</v>
      </c>
      <c r="BW157" s="155">
        <v>0.82199999999999995</v>
      </c>
      <c r="BX157" s="159">
        <v>2</v>
      </c>
      <c r="BY157" s="155">
        <v>6.2130000000000001</v>
      </c>
      <c r="BZ157" s="155">
        <v>92</v>
      </c>
      <c r="CA157" s="167">
        <v>11.927</v>
      </c>
    </row>
    <row r="158" spans="1:79">
      <c r="A158" s="132"/>
      <c r="B158" s="160" t="s">
        <v>211</v>
      </c>
      <c r="C158" s="134"/>
      <c r="D158" s="135"/>
      <c r="E158" s="136"/>
      <c r="F158" s="137"/>
      <c r="G158" s="137"/>
      <c r="H158" s="137"/>
      <c r="I158" s="137"/>
      <c r="J158" s="137"/>
      <c r="K158" s="138"/>
      <c r="L158" s="139"/>
      <c r="M158" s="140"/>
      <c r="N158" s="154"/>
      <c r="O158" s="155"/>
      <c r="P158" s="155"/>
      <c r="Q158" s="155"/>
      <c r="R158" s="162"/>
      <c r="S158" s="163"/>
      <c r="T158" s="163"/>
      <c r="U158" s="163"/>
      <c r="V158" s="163"/>
      <c r="W158" s="161"/>
      <c r="X158" s="162"/>
      <c r="Y158" s="161"/>
      <c r="Z158" s="162">
        <v>7.4000000000000003E-3</v>
      </c>
      <c r="AA158" s="164">
        <f t="shared" si="14"/>
        <v>16.767156028799999</v>
      </c>
      <c r="AB158" s="161">
        <v>16.9007460288</v>
      </c>
      <c r="AC158" s="162">
        <f>0.189+0.189+0.126+0.009</f>
        <v>0.51300000000000001</v>
      </c>
      <c r="AD158" s="161">
        <f>354.807+383.12+310.475+1.279</f>
        <v>1049.681</v>
      </c>
      <c r="AE158" s="162"/>
      <c r="AF158" s="161"/>
      <c r="AG158" s="162">
        <v>1.25E-3</v>
      </c>
      <c r="AH158" s="161">
        <v>2.7006582125624998</v>
      </c>
      <c r="AI158" s="162"/>
      <c r="AJ158" s="163"/>
      <c r="AK158" s="162"/>
      <c r="AL158" s="161"/>
      <c r="AM158" s="162">
        <v>15</v>
      </c>
      <c r="AN158" s="161">
        <v>59.732089370000004</v>
      </c>
      <c r="AO158" s="162">
        <v>2</v>
      </c>
      <c r="AP158" s="161">
        <v>28.454608</v>
      </c>
      <c r="AQ158" s="165">
        <v>26</v>
      </c>
      <c r="AR158" s="166">
        <v>32.409980688461538</v>
      </c>
      <c r="AS158" s="162">
        <v>3.15E-2</v>
      </c>
      <c r="AT158" s="161">
        <v>87.267283934299982</v>
      </c>
      <c r="AU158" s="162"/>
      <c r="AV158" s="167"/>
      <c r="AW158" s="168"/>
      <c r="AX158" s="168">
        <v>1</v>
      </c>
      <c r="AY158" s="168">
        <v>0.66200000000000003</v>
      </c>
      <c r="AZ158" s="162"/>
      <c r="BA158" s="161"/>
      <c r="BB158" s="169"/>
      <c r="BC158" s="170">
        <v>133.76599999999999</v>
      </c>
      <c r="BD158" s="153">
        <f t="shared" si="12"/>
        <v>1833.7170308541943</v>
      </c>
      <c r="BE158" s="154">
        <f t="shared" si="10"/>
        <v>65.097664620070006</v>
      </c>
      <c r="BF158" s="155">
        <f t="shared" si="11"/>
        <v>328.90000000000003</v>
      </c>
      <c r="BG158" s="149">
        <f t="shared" si="13"/>
        <v>28.145</v>
      </c>
      <c r="BH158" s="154"/>
      <c r="BI158" s="155"/>
      <c r="BJ158" s="155">
        <v>1.6E-2</v>
      </c>
      <c r="BK158" s="155">
        <v>13.360747165750002</v>
      </c>
      <c r="BL158" s="155">
        <v>6.1999999999999998E-3</v>
      </c>
      <c r="BM158" s="155">
        <v>5.1999174543200004</v>
      </c>
      <c r="BN158" s="155">
        <v>1.2E-2</v>
      </c>
      <c r="BO158" s="155">
        <v>13.032</v>
      </c>
      <c r="BP158" s="171"/>
      <c r="BQ158" s="155"/>
      <c r="BR158" s="155">
        <v>29</v>
      </c>
      <c r="BS158" s="167">
        <v>33.505000000000003</v>
      </c>
      <c r="BT158" s="154">
        <v>0.23</v>
      </c>
      <c r="BU158" s="155">
        <v>292.66500000000002</v>
      </c>
      <c r="BV158" s="155">
        <v>7</v>
      </c>
      <c r="BW158" s="155">
        <v>1.831</v>
      </c>
      <c r="BX158" s="159">
        <v>4</v>
      </c>
      <c r="BY158" s="155">
        <v>6.2590000000000003</v>
      </c>
      <c r="BZ158" s="155">
        <v>196</v>
      </c>
      <c r="CA158" s="167">
        <v>28.145</v>
      </c>
    </row>
    <row r="159" spans="1:79">
      <c r="A159" s="132"/>
      <c r="B159" s="178" t="s">
        <v>212</v>
      </c>
      <c r="C159" s="134"/>
      <c r="D159" s="135"/>
      <c r="E159" s="136"/>
      <c r="F159" s="137"/>
      <c r="G159" s="137"/>
      <c r="H159" s="137"/>
      <c r="I159" s="137"/>
      <c r="J159" s="137"/>
      <c r="K159" s="138"/>
      <c r="L159" s="139"/>
      <c r="M159" s="140"/>
      <c r="N159" s="154"/>
      <c r="O159" s="155"/>
      <c r="P159" s="155"/>
      <c r="Q159" s="155"/>
      <c r="R159" s="162"/>
      <c r="S159" s="163"/>
      <c r="T159" s="163"/>
      <c r="U159" s="163"/>
      <c r="V159" s="163"/>
      <c r="W159" s="161"/>
      <c r="X159" s="162"/>
      <c r="Y159" s="161"/>
      <c r="Z159" s="162"/>
      <c r="AA159" s="164"/>
      <c r="AB159" s="161"/>
      <c r="AC159" s="162">
        <v>5.9999999999999995E-4</v>
      </c>
      <c r="AD159" s="161">
        <v>1.9897986000000001</v>
      </c>
      <c r="AE159" s="162"/>
      <c r="AF159" s="161"/>
      <c r="AG159" s="162"/>
      <c r="AH159" s="161"/>
      <c r="AI159" s="162"/>
      <c r="AJ159" s="163"/>
      <c r="AK159" s="162"/>
      <c r="AL159" s="161"/>
      <c r="AM159" s="162">
        <v>2</v>
      </c>
      <c r="AN159" s="161">
        <v>3.0219999999999998</v>
      </c>
      <c r="AO159" s="162"/>
      <c r="AP159" s="161"/>
      <c r="AQ159" s="165">
        <v>2</v>
      </c>
      <c r="AR159" s="166">
        <v>1.0227374</v>
      </c>
      <c r="AS159" s="162"/>
      <c r="AT159" s="161"/>
      <c r="AU159" s="162"/>
      <c r="AV159" s="167"/>
      <c r="AW159" s="168"/>
      <c r="AX159" s="168"/>
      <c r="AY159" s="168"/>
      <c r="AZ159" s="162"/>
      <c r="BA159" s="161"/>
      <c r="BB159" s="169"/>
      <c r="BC159" s="170">
        <v>38.256</v>
      </c>
      <c r="BD159" s="153">
        <f t="shared" si="12"/>
        <v>156.48393309248999</v>
      </c>
      <c r="BE159" s="154">
        <f t="shared" si="10"/>
        <v>55.811397092489997</v>
      </c>
      <c r="BF159" s="155">
        <f t="shared" si="11"/>
        <v>38.042000000000002</v>
      </c>
      <c r="BG159" s="149">
        <f t="shared" si="13"/>
        <v>18.34</v>
      </c>
      <c r="BH159" s="154"/>
      <c r="BI159" s="155"/>
      <c r="BJ159" s="155">
        <v>2E-3</v>
      </c>
      <c r="BK159" s="155">
        <v>1.5695921714000001</v>
      </c>
      <c r="BL159" s="155">
        <v>1.8700000000000001E-2</v>
      </c>
      <c r="BM159" s="155">
        <v>16.645804921090001</v>
      </c>
      <c r="BN159" s="155"/>
      <c r="BO159" s="155"/>
      <c r="BP159" s="171"/>
      <c r="BQ159" s="155"/>
      <c r="BR159" s="155">
        <v>33</v>
      </c>
      <c r="BS159" s="167">
        <v>37.595999999999997</v>
      </c>
      <c r="BT159" s="154">
        <v>0.06</v>
      </c>
      <c r="BU159" s="155">
        <v>14.208</v>
      </c>
      <c r="BV159" s="155">
        <v>2</v>
      </c>
      <c r="BW159" s="155">
        <v>0.47299999999999998</v>
      </c>
      <c r="BX159" s="159">
        <v>2</v>
      </c>
      <c r="BY159" s="155">
        <v>5.0209999999999999</v>
      </c>
      <c r="BZ159" s="155">
        <v>96</v>
      </c>
      <c r="CA159" s="167">
        <v>18.34</v>
      </c>
    </row>
    <row r="160" spans="1:79">
      <c r="A160" s="132"/>
      <c r="B160" s="173" t="s">
        <v>213</v>
      </c>
      <c r="C160" s="134"/>
      <c r="D160" s="135"/>
      <c r="E160" s="136"/>
      <c r="F160" s="137"/>
      <c r="G160" s="137"/>
      <c r="H160" s="137"/>
      <c r="I160" s="137"/>
      <c r="J160" s="137"/>
      <c r="K160" s="138"/>
      <c r="L160" s="139"/>
      <c r="M160" s="140"/>
      <c r="N160" s="154"/>
      <c r="O160" s="155"/>
      <c r="P160" s="155"/>
      <c r="Q160" s="155"/>
      <c r="R160" s="162"/>
      <c r="S160" s="163"/>
      <c r="T160" s="163"/>
      <c r="U160" s="163"/>
      <c r="V160" s="163"/>
      <c r="W160" s="161"/>
      <c r="X160" s="162"/>
      <c r="Y160" s="161"/>
      <c r="Z160" s="162">
        <v>5.79E-2</v>
      </c>
      <c r="AA160" s="164">
        <f t="shared" si="14"/>
        <v>7.6114973671000001</v>
      </c>
      <c r="AB160" s="161">
        <v>7.7450873671</v>
      </c>
      <c r="AC160" s="162"/>
      <c r="AD160" s="161"/>
      <c r="AE160" s="162"/>
      <c r="AF160" s="161"/>
      <c r="AG160" s="162"/>
      <c r="AH160" s="161"/>
      <c r="AI160" s="162"/>
      <c r="AJ160" s="163"/>
      <c r="AK160" s="162"/>
      <c r="AL160" s="161"/>
      <c r="AM160" s="162">
        <v>2</v>
      </c>
      <c r="AN160" s="161">
        <v>2.9133268299999999</v>
      </c>
      <c r="AO160" s="162"/>
      <c r="AP160" s="161"/>
      <c r="AQ160" s="165">
        <v>6</v>
      </c>
      <c r="AR160" s="166">
        <v>7.3307125307692305</v>
      </c>
      <c r="AS160" s="162"/>
      <c r="AT160" s="161"/>
      <c r="AU160" s="162"/>
      <c r="AV160" s="167"/>
      <c r="AW160" s="168"/>
      <c r="AX160" s="168"/>
      <c r="AY160" s="168"/>
      <c r="AZ160" s="162"/>
      <c r="BA160" s="161"/>
      <c r="BB160" s="169"/>
      <c r="BC160" s="170">
        <f>0.368410365+8.084</f>
        <v>8.4524103650000004</v>
      </c>
      <c r="BD160" s="153">
        <f t="shared" si="12"/>
        <v>227.89929753106924</v>
      </c>
      <c r="BE160" s="154">
        <f t="shared" si="10"/>
        <v>151.4677604382</v>
      </c>
      <c r="BF160" s="155">
        <f t="shared" si="11"/>
        <v>41.182000000000002</v>
      </c>
      <c r="BG160" s="149">
        <f t="shared" si="13"/>
        <v>8.8079999999999998</v>
      </c>
      <c r="BH160" s="154">
        <v>2E-3</v>
      </c>
      <c r="BI160" s="155">
        <v>1.3157356408000001</v>
      </c>
      <c r="BJ160" s="155"/>
      <c r="BK160" s="155"/>
      <c r="BL160" s="155">
        <v>1.0700000000000001E-2</v>
      </c>
      <c r="BM160" s="155">
        <v>18.956994717400001</v>
      </c>
      <c r="BN160" s="155">
        <v>2.1999999999999999E-2</v>
      </c>
      <c r="BO160" s="155">
        <v>17.588999999999999</v>
      </c>
      <c r="BP160" s="171">
        <v>2</v>
      </c>
      <c r="BQ160" s="155">
        <v>5.53403008</v>
      </c>
      <c r="BR160" s="155">
        <v>70</v>
      </c>
      <c r="BS160" s="167">
        <v>108.072</v>
      </c>
      <c r="BT160" s="154">
        <v>5.5E-2</v>
      </c>
      <c r="BU160" s="155">
        <v>11.896000000000001</v>
      </c>
      <c r="BV160" s="155">
        <v>1</v>
      </c>
      <c r="BW160" s="155">
        <v>0.24399999999999999</v>
      </c>
      <c r="BX160" s="159">
        <v>7</v>
      </c>
      <c r="BY160" s="155">
        <v>20.234000000000002</v>
      </c>
      <c r="BZ160" s="155">
        <v>59</v>
      </c>
      <c r="CA160" s="167">
        <v>8.8079999999999998</v>
      </c>
    </row>
    <row r="161" spans="1:79">
      <c r="A161" s="132"/>
      <c r="B161" s="173" t="s">
        <v>214</v>
      </c>
      <c r="C161" s="134"/>
      <c r="D161" s="135"/>
      <c r="E161" s="136"/>
      <c r="F161" s="137"/>
      <c r="G161" s="137"/>
      <c r="H161" s="137"/>
      <c r="I161" s="137"/>
      <c r="J161" s="137"/>
      <c r="K161" s="138"/>
      <c r="L161" s="139"/>
      <c r="M161" s="140"/>
      <c r="N161" s="154"/>
      <c r="O161" s="155"/>
      <c r="P161" s="155"/>
      <c r="Q161" s="155"/>
      <c r="R161" s="162"/>
      <c r="S161" s="163"/>
      <c r="T161" s="163"/>
      <c r="U161" s="163"/>
      <c r="V161" s="163"/>
      <c r="W161" s="161"/>
      <c r="X161" s="162"/>
      <c r="Y161" s="161"/>
      <c r="Z161" s="162">
        <v>4.5000000000000005E-3</v>
      </c>
      <c r="AA161" s="164">
        <f t="shared" si="14"/>
        <v>0.48935713950000004</v>
      </c>
      <c r="AB161" s="161">
        <v>0.62294713950000002</v>
      </c>
      <c r="AC161" s="162"/>
      <c r="AD161" s="161"/>
      <c r="AE161" s="162"/>
      <c r="AF161" s="161"/>
      <c r="AG161" s="162"/>
      <c r="AH161" s="161"/>
      <c r="AI161" s="162"/>
      <c r="AJ161" s="163"/>
      <c r="AK161" s="162"/>
      <c r="AL161" s="161"/>
      <c r="AM161" s="162">
        <v>1</v>
      </c>
      <c r="AN161" s="161">
        <v>9.3923858159999991</v>
      </c>
      <c r="AO161" s="162"/>
      <c r="AP161" s="161"/>
      <c r="AQ161" s="165">
        <v>8</v>
      </c>
      <c r="AR161" s="166">
        <v>5.2908186920000002</v>
      </c>
      <c r="AS161" s="162"/>
      <c r="AT161" s="161"/>
      <c r="AU161" s="162"/>
      <c r="AV161" s="167"/>
      <c r="AW161" s="168"/>
      <c r="AX161" s="168"/>
      <c r="AY161" s="168"/>
      <c r="AZ161" s="162"/>
      <c r="BA161" s="161"/>
      <c r="BB161" s="169"/>
      <c r="BC161" s="170">
        <v>14.689469544000001</v>
      </c>
      <c r="BD161" s="153">
        <f t="shared" si="12"/>
        <v>199.58634167918999</v>
      </c>
      <c r="BE161" s="154">
        <f t="shared" si="10"/>
        <v>125.67472048769</v>
      </c>
      <c r="BF161" s="155">
        <f t="shared" si="11"/>
        <v>32.658999999999999</v>
      </c>
      <c r="BG161" s="149">
        <f t="shared" si="13"/>
        <v>11.257</v>
      </c>
      <c r="BH161" s="154"/>
      <c r="BI161" s="155"/>
      <c r="BJ161" s="155">
        <v>1.7999999999999999E-2</v>
      </c>
      <c r="BK161" s="155">
        <v>21.874315672999998</v>
      </c>
      <c r="BL161" s="155">
        <v>2.1200000000000004E-2</v>
      </c>
      <c r="BM161" s="155">
        <v>19.400404814689999</v>
      </c>
      <c r="BN161" s="155">
        <v>3.0000000000000001E-3</v>
      </c>
      <c r="BO161" s="155">
        <v>1.92</v>
      </c>
      <c r="BP161" s="171"/>
      <c r="BQ161" s="155"/>
      <c r="BR161" s="155">
        <v>55</v>
      </c>
      <c r="BS161" s="167">
        <v>82.48</v>
      </c>
      <c r="BT161" s="154">
        <v>1.7000000000000001E-2</v>
      </c>
      <c r="BU161" s="155">
        <v>10.677</v>
      </c>
      <c r="BV161" s="155">
        <v>6</v>
      </c>
      <c r="BW161" s="155">
        <v>1.341</v>
      </c>
      <c r="BX161" s="159">
        <v>4</v>
      </c>
      <c r="BY161" s="155">
        <v>9.3840000000000003</v>
      </c>
      <c r="BZ161" s="155">
        <v>72</v>
      </c>
      <c r="CA161" s="167">
        <v>11.257</v>
      </c>
    </row>
    <row r="162" spans="1:79">
      <c r="A162" s="132"/>
      <c r="B162" s="173" t="s">
        <v>215</v>
      </c>
      <c r="C162" s="134"/>
      <c r="D162" s="135"/>
      <c r="E162" s="136"/>
      <c r="F162" s="137"/>
      <c r="G162" s="137"/>
      <c r="H162" s="137"/>
      <c r="I162" s="137"/>
      <c r="J162" s="137"/>
      <c r="K162" s="138"/>
      <c r="L162" s="139"/>
      <c r="M162" s="140"/>
      <c r="N162" s="154">
        <v>1.6E-2</v>
      </c>
      <c r="O162" s="155">
        <v>6.0454499999999998</v>
      </c>
      <c r="P162" s="155">
        <v>0.13</v>
      </c>
      <c r="Q162" s="155">
        <v>46.037851001999996</v>
      </c>
      <c r="R162" s="162"/>
      <c r="S162" s="163"/>
      <c r="T162" s="163"/>
      <c r="U162" s="163"/>
      <c r="V162" s="163"/>
      <c r="W162" s="161"/>
      <c r="X162" s="162"/>
      <c r="Y162" s="161"/>
      <c r="Z162" s="162">
        <v>0.15190000000000003</v>
      </c>
      <c r="AA162" s="164">
        <f t="shared" si="14"/>
        <v>15.28810013084</v>
      </c>
      <c r="AB162" s="161">
        <v>15.42169013084</v>
      </c>
      <c r="AC162" s="162">
        <v>3.5700000000000003E-2</v>
      </c>
      <c r="AD162" s="161">
        <v>43.327554900000003</v>
      </c>
      <c r="AE162" s="162">
        <v>3.8080000000000003E-2</v>
      </c>
      <c r="AF162" s="161">
        <v>19.357800000000001</v>
      </c>
      <c r="AG162" s="162"/>
      <c r="AH162" s="161"/>
      <c r="AI162" s="162">
        <v>1</v>
      </c>
      <c r="AJ162" s="163">
        <v>0.67750200000000005</v>
      </c>
      <c r="AK162" s="162"/>
      <c r="AL162" s="161"/>
      <c r="AM162" s="162"/>
      <c r="AN162" s="161"/>
      <c r="AO162" s="162">
        <v>1</v>
      </c>
      <c r="AP162" s="161">
        <v>8.1050000000000004</v>
      </c>
      <c r="AQ162" s="165">
        <v>15</v>
      </c>
      <c r="AR162" s="166">
        <v>17.758991535999996</v>
      </c>
      <c r="AS162" s="162"/>
      <c r="AT162" s="161"/>
      <c r="AU162" s="162"/>
      <c r="AV162" s="167"/>
      <c r="AW162" s="168"/>
      <c r="AX162" s="168"/>
      <c r="AY162" s="168"/>
      <c r="AZ162" s="162">
        <v>1</v>
      </c>
      <c r="BA162" s="161">
        <v>17.655868179999999</v>
      </c>
      <c r="BB162" s="169"/>
      <c r="BC162" s="170">
        <v>5.6692865043300005</v>
      </c>
      <c r="BD162" s="153">
        <f t="shared" si="12"/>
        <v>390.75705577411998</v>
      </c>
      <c r="BE162" s="154">
        <f t="shared" si="10"/>
        <v>183.90406152094999</v>
      </c>
      <c r="BF162" s="155">
        <f t="shared" si="11"/>
        <v>15.873000000000001</v>
      </c>
      <c r="BG162" s="149">
        <f t="shared" si="13"/>
        <v>10.923</v>
      </c>
      <c r="BH162" s="154"/>
      <c r="BI162" s="155"/>
      <c r="BJ162" s="155">
        <v>6.6300000000000005E-3</v>
      </c>
      <c r="BK162" s="155">
        <v>5.9988688218500004</v>
      </c>
      <c r="BL162" s="155">
        <v>1.15E-2</v>
      </c>
      <c r="BM162" s="155">
        <v>11.885682699099998</v>
      </c>
      <c r="BN162" s="155">
        <v>1.2E-2</v>
      </c>
      <c r="BO162" s="155">
        <v>10.212</v>
      </c>
      <c r="BP162" s="171">
        <v>2</v>
      </c>
      <c r="BQ162" s="155">
        <v>4.1545100000000001</v>
      </c>
      <c r="BR162" s="155">
        <v>97</v>
      </c>
      <c r="BS162" s="167">
        <v>151.65299999999999</v>
      </c>
      <c r="BT162" s="154"/>
      <c r="BU162" s="155"/>
      <c r="BV162" s="155">
        <v>4</v>
      </c>
      <c r="BW162" s="155">
        <v>1.1020000000000001</v>
      </c>
      <c r="BX162" s="159">
        <v>2</v>
      </c>
      <c r="BY162" s="155">
        <v>3.8479999999999999</v>
      </c>
      <c r="BZ162" s="155">
        <v>88</v>
      </c>
      <c r="CA162" s="167">
        <v>10.923</v>
      </c>
    </row>
    <row r="163" spans="1:79">
      <c r="A163" s="132"/>
      <c r="B163" s="173" t="s">
        <v>216</v>
      </c>
      <c r="C163" s="134"/>
      <c r="D163" s="135"/>
      <c r="E163" s="136"/>
      <c r="F163" s="137"/>
      <c r="G163" s="137"/>
      <c r="H163" s="137"/>
      <c r="I163" s="137"/>
      <c r="J163" s="137"/>
      <c r="K163" s="138"/>
      <c r="L163" s="139"/>
      <c r="M163" s="140"/>
      <c r="N163" s="154"/>
      <c r="O163" s="155"/>
      <c r="P163" s="155"/>
      <c r="Q163" s="155"/>
      <c r="R163" s="162"/>
      <c r="S163" s="163"/>
      <c r="T163" s="163"/>
      <c r="U163" s="163"/>
      <c r="V163" s="163"/>
      <c r="W163" s="161"/>
      <c r="X163" s="162"/>
      <c r="Y163" s="161"/>
      <c r="Z163" s="162">
        <v>7.0000000000000001E-3</v>
      </c>
      <c r="AA163" s="164">
        <f t="shared" si="14"/>
        <v>0.72514641000000002</v>
      </c>
      <c r="AB163" s="161">
        <v>0.85873641000000001</v>
      </c>
      <c r="AC163" s="162"/>
      <c r="AD163" s="161"/>
      <c r="AE163" s="162"/>
      <c r="AF163" s="161"/>
      <c r="AG163" s="162">
        <v>7.5000000000000002E-4</v>
      </c>
      <c r="AH163" s="161">
        <v>0.37030539899999998</v>
      </c>
      <c r="AI163" s="162"/>
      <c r="AJ163" s="163"/>
      <c r="AK163" s="162"/>
      <c r="AL163" s="161"/>
      <c r="AM163" s="162">
        <v>2</v>
      </c>
      <c r="AN163" s="161">
        <v>6.2467145000000013</v>
      </c>
      <c r="AO163" s="162"/>
      <c r="AP163" s="161"/>
      <c r="AQ163" s="165">
        <v>15</v>
      </c>
      <c r="AR163" s="166">
        <v>3.5738075002923075</v>
      </c>
      <c r="AS163" s="162">
        <v>3.0000000000000001E-3</v>
      </c>
      <c r="AT163" s="161">
        <v>7.9100459999999995</v>
      </c>
      <c r="AU163" s="162"/>
      <c r="AV163" s="167"/>
      <c r="AW163" s="168"/>
      <c r="AX163" s="168"/>
      <c r="AY163" s="168"/>
      <c r="AZ163" s="162"/>
      <c r="BA163" s="161"/>
      <c r="BB163" s="169"/>
      <c r="BC163" s="170">
        <v>8.293124259999999</v>
      </c>
      <c r="BD163" s="153">
        <f t="shared" si="12"/>
        <v>127.86915450383231</v>
      </c>
      <c r="BE163" s="154">
        <f t="shared" si="10"/>
        <v>74.765420434540005</v>
      </c>
      <c r="BF163" s="155">
        <f t="shared" si="11"/>
        <v>16.25</v>
      </c>
      <c r="BG163" s="149">
        <f t="shared" si="13"/>
        <v>9.6010000000000009</v>
      </c>
      <c r="BH163" s="154">
        <v>3.5999999999999999E-3</v>
      </c>
      <c r="BI163" s="155">
        <v>2.3683241534400001</v>
      </c>
      <c r="BJ163" s="155"/>
      <c r="BK163" s="155"/>
      <c r="BL163" s="155">
        <v>9.7999999999999997E-3</v>
      </c>
      <c r="BM163" s="155">
        <v>13.609986281099999</v>
      </c>
      <c r="BN163" s="155"/>
      <c r="BO163" s="155"/>
      <c r="BP163" s="171">
        <v>2</v>
      </c>
      <c r="BQ163" s="155">
        <v>3.6631100000000001</v>
      </c>
      <c r="BR163" s="155">
        <v>51</v>
      </c>
      <c r="BS163" s="167">
        <v>55.124000000000002</v>
      </c>
      <c r="BT163" s="154"/>
      <c r="BU163" s="155"/>
      <c r="BV163" s="155">
        <v>3</v>
      </c>
      <c r="BW163" s="155">
        <v>0.59799999999999998</v>
      </c>
      <c r="BX163" s="159">
        <v>5</v>
      </c>
      <c r="BY163" s="155">
        <v>6.0510000000000002</v>
      </c>
      <c r="BZ163" s="155">
        <v>78</v>
      </c>
      <c r="CA163" s="167">
        <v>9.6010000000000009</v>
      </c>
    </row>
    <row r="164" spans="1:79">
      <c r="A164" s="132"/>
      <c r="B164" s="173" t="s">
        <v>217</v>
      </c>
      <c r="C164" s="134"/>
      <c r="D164" s="135"/>
      <c r="E164" s="136"/>
      <c r="F164" s="137"/>
      <c r="G164" s="137"/>
      <c r="H164" s="137"/>
      <c r="I164" s="137"/>
      <c r="J164" s="137"/>
      <c r="K164" s="138"/>
      <c r="L164" s="139"/>
      <c r="M164" s="140"/>
      <c r="N164" s="154"/>
      <c r="O164" s="155"/>
      <c r="P164" s="155">
        <v>0.38629999999999998</v>
      </c>
      <c r="Q164" s="155">
        <v>275.75212968552</v>
      </c>
      <c r="R164" s="162"/>
      <c r="S164" s="163"/>
      <c r="T164" s="163"/>
      <c r="U164" s="163"/>
      <c r="V164" s="163">
        <v>5.6500000000000002E-2</v>
      </c>
      <c r="W164" s="161">
        <v>42.3</v>
      </c>
      <c r="X164" s="162">
        <v>5.0000000000000001E-3</v>
      </c>
      <c r="Y164" s="161">
        <v>2.2942756900000001</v>
      </c>
      <c r="Z164" s="162">
        <v>3.4500000000000003E-2</v>
      </c>
      <c r="AA164" s="164">
        <f t="shared" si="14"/>
        <v>7.1747895683500005</v>
      </c>
      <c r="AB164" s="161">
        <v>7.3083795683500004</v>
      </c>
      <c r="AC164" s="162"/>
      <c r="AD164" s="161"/>
      <c r="AE164" s="162">
        <v>1.06E-2</v>
      </c>
      <c r="AF164" s="161">
        <v>9.5890000000000004</v>
      </c>
      <c r="AG164" s="162">
        <v>8.0000000000000002E-3</v>
      </c>
      <c r="AH164" s="161">
        <v>5.6398065553999999</v>
      </c>
      <c r="AI164" s="162"/>
      <c r="AJ164" s="163"/>
      <c r="AK164" s="162"/>
      <c r="AL164" s="161"/>
      <c r="AM164" s="162">
        <v>5</v>
      </c>
      <c r="AN164" s="161">
        <v>28.061549200000002</v>
      </c>
      <c r="AO164" s="162"/>
      <c r="AP164" s="161"/>
      <c r="AQ164" s="165">
        <v>13</v>
      </c>
      <c r="AR164" s="166">
        <v>17.041013983076923</v>
      </c>
      <c r="AS164" s="162"/>
      <c r="AT164" s="161"/>
      <c r="AU164" s="162"/>
      <c r="AV164" s="167"/>
      <c r="AW164" s="168"/>
      <c r="AX164" s="168"/>
      <c r="AY164" s="168"/>
      <c r="AZ164" s="162">
        <v>3</v>
      </c>
      <c r="BA164" s="161">
        <v>22.638209553999999</v>
      </c>
      <c r="BB164" s="169"/>
      <c r="BC164" s="170">
        <f>18.15446677904+1.659</f>
        <v>19.813466779039999</v>
      </c>
      <c r="BD164" s="153">
        <f t="shared" si="12"/>
        <v>765.80738831888698</v>
      </c>
      <c r="BE164" s="154">
        <f t="shared" si="10"/>
        <v>197.45055730349998</v>
      </c>
      <c r="BF164" s="155">
        <f t="shared" si="11"/>
        <v>96.697999999999993</v>
      </c>
      <c r="BG164" s="149">
        <f t="shared" si="13"/>
        <v>41.220999999999997</v>
      </c>
      <c r="BH164" s="154">
        <v>1.6E-2</v>
      </c>
      <c r="BI164" s="155">
        <v>14.337149625799999</v>
      </c>
      <c r="BJ164" s="155">
        <v>5.0000000000000001E-4</v>
      </c>
      <c r="BK164" s="155">
        <v>1.0512009175000001</v>
      </c>
      <c r="BL164" s="155">
        <v>3.5000000000000003E-2</v>
      </c>
      <c r="BM164" s="155">
        <v>29.251485560199999</v>
      </c>
      <c r="BN164" s="155"/>
      <c r="BO164" s="155"/>
      <c r="BP164" s="171">
        <v>8</v>
      </c>
      <c r="BQ164" s="155">
        <v>18.282721200000001</v>
      </c>
      <c r="BR164" s="155">
        <v>113</v>
      </c>
      <c r="BS164" s="167">
        <v>134.52799999999999</v>
      </c>
      <c r="BT164" s="154">
        <v>0.104</v>
      </c>
      <c r="BU164" s="155">
        <v>36.085999999999999</v>
      </c>
      <c r="BV164" s="155">
        <v>15</v>
      </c>
      <c r="BW164" s="155">
        <v>4.0549999999999997</v>
      </c>
      <c r="BX164" s="159">
        <v>6</v>
      </c>
      <c r="BY164" s="155">
        <v>15.336</v>
      </c>
      <c r="BZ164" s="155">
        <v>276</v>
      </c>
      <c r="CA164" s="167">
        <v>41.220999999999997</v>
      </c>
    </row>
    <row r="165" spans="1:79">
      <c r="A165" s="132"/>
      <c r="B165" s="173" t="s">
        <v>218</v>
      </c>
      <c r="C165" s="134"/>
      <c r="D165" s="135"/>
      <c r="E165" s="136"/>
      <c r="F165" s="137"/>
      <c r="G165" s="137"/>
      <c r="H165" s="137"/>
      <c r="I165" s="137"/>
      <c r="J165" s="137"/>
      <c r="K165" s="138"/>
      <c r="L165" s="139"/>
      <c r="M165" s="140"/>
      <c r="N165" s="154">
        <v>6.0000000000000001E-3</v>
      </c>
      <c r="O165" s="155">
        <v>3.1096439460000003</v>
      </c>
      <c r="P165" s="155">
        <v>5.3000000000000005E-2</v>
      </c>
      <c r="Q165" s="155">
        <v>7.2011140733199994</v>
      </c>
      <c r="R165" s="162"/>
      <c r="S165" s="163"/>
      <c r="T165" s="163"/>
      <c r="U165" s="163"/>
      <c r="V165" s="163"/>
      <c r="W165" s="161"/>
      <c r="X165" s="162">
        <f>0.027+0.046</f>
        <v>7.2999999999999995E-2</v>
      </c>
      <c r="Y165" s="161">
        <f>15.544+20.878</f>
        <v>36.421999999999997</v>
      </c>
      <c r="Z165" s="162">
        <v>1.2999999999999999E-2</v>
      </c>
      <c r="AA165" s="164">
        <f t="shared" si="14"/>
        <v>1.46120619</v>
      </c>
      <c r="AB165" s="161">
        <v>1.5947961900000001</v>
      </c>
      <c r="AC165" s="162">
        <v>6.2E-2</v>
      </c>
      <c r="AD165" s="161">
        <v>32.177999999999997</v>
      </c>
      <c r="AE165" s="162">
        <v>1.24E-2</v>
      </c>
      <c r="AF165" s="161">
        <v>11.831389999999999</v>
      </c>
      <c r="AG165" s="162">
        <v>1E-3</v>
      </c>
      <c r="AH165" s="161">
        <v>1.0895109999999999</v>
      </c>
      <c r="AI165" s="162"/>
      <c r="AJ165" s="163"/>
      <c r="AK165" s="162">
        <v>2.5000000000000001E-2</v>
      </c>
      <c r="AL165" s="161">
        <v>23.586939999999998</v>
      </c>
      <c r="AM165" s="162">
        <v>3</v>
      </c>
      <c r="AN165" s="161">
        <v>7.5119620000000005</v>
      </c>
      <c r="AO165" s="162"/>
      <c r="AP165" s="161"/>
      <c r="AQ165" s="165">
        <v>30</v>
      </c>
      <c r="AR165" s="166">
        <v>22.014844421384616</v>
      </c>
      <c r="AS165" s="162">
        <v>7.0000000000000001E-3</v>
      </c>
      <c r="AT165" s="161">
        <v>10.586321399999999</v>
      </c>
      <c r="AU165" s="162"/>
      <c r="AV165" s="167"/>
      <c r="AW165" s="168"/>
      <c r="AX165" s="168"/>
      <c r="AY165" s="168"/>
      <c r="AZ165" s="162"/>
      <c r="BA165" s="161"/>
      <c r="BB165" s="169"/>
      <c r="BC165" s="170">
        <v>99.521000000000001</v>
      </c>
      <c r="BD165" s="153">
        <f t="shared" si="12"/>
        <v>626.23674238720457</v>
      </c>
      <c r="BE165" s="154">
        <f t="shared" si="10"/>
        <v>240.5242193565</v>
      </c>
      <c r="BF165" s="155">
        <f t="shared" si="11"/>
        <v>83.804000000000002</v>
      </c>
      <c r="BG165" s="149">
        <f t="shared" si="13"/>
        <v>45.261000000000003</v>
      </c>
      <c r="BH165" s="154">
        <v>5.4999999999999997E-3</v>
      </c>
      <c r="BI165" s="155">
        <v>5.4400778204</v>
      </c>
      <c r="BJ165" s="155">
        <v>3.6000000000000004E-2</v>
      </c>
      <c r="BK165" s="155">
        <v>35.817544845</v>
      </c>
      <c r="BL165" s="155">
        <v>3.6000000000000004E-2</v>
      </c>
      <c r="BM165" s="155">
        <v>41.842754131100001</v>
      </c>
      <c r="BN165" s="155">
        <v>2.1000000000000001E-2</v>
      </c>
      <c r="BO165" s="155">
        <v>18.059000000000001</v>
      </c>
      <c r="BP165" s="171">
        <v>4</v>
      </c>
      <c r="BQ165" s="155">
        <v>8.4298425600000009</v>
      </c>
      <c r="BR165" s="155">
        <v>100</v>
      </c>
      <c r="BS165" s="167">
        <v>130.935</v>
      </c>
      <c r="BT165" s="154">
        <v>0.04</v>
      </c>
      <c r="BU165" s="155">
        <v>10.292999999999999</v>
      </c>
      <c r="BV165" s="155">
        <v>10</v>
      </c>
      <c r="BW165" s="155">
        <v>2.827</v>
      </c>
      <c r="BX165" s="159">
        <v>13</v>
      </c>
      <c r="BY165" s="155">
        <v>25.422999999999998</v>
      </c>
      <c r="BZ165" s="155">
        <v>309</v>
      </c>
      <c r="CA165" s="167">
        <v>45.261000000000003</v>
      </c>
    </row>
    <row r="166" spans="1:79">
      <c r="A166" s="132"/>
      <c r="B166" s="173" t="s">
        <v>219</v>
      </c>
      <c r="C166" s="134"/>
      <c r="D166" s="135"/>
      <c r="E166" s="136"/>
      <c r="F166" s="137"/>
      <c r="G166" s="137"/>
      <c r="H166" s="137"/>
      <c r="I166" s="137"/>
      <c r="J166" s="137"/>
      <c r="K166" s="138"/>
      <c r="L166" s="139"/>
      <c r="M166" s="140"/>
      <c r="N166" s="154"/>
      <c r="O166" s="155"/>
      <c r="P166" s="155"/>
      <c r="Q166" s="155"/>
      <c r="R166" s="162"/>
      <c r="S166" s="163"/>
      <c r="T166" s="163"/>
      <c r="U166" s="163"/>
      <c r="V166" s="163"/>
      <c r="W166" s="161"/>
      <c r="X166" s="162"/>
      <c r="Y166" s="161"/>
      <c r="Z166" s="162">
        <v>3.9E-2</v>
      </c>
      <c r="AA166" s="164">
        <f t="shared" si="14"/>
        <v>4.2948155547000004</v>
      </c>
      <c r="AB166" s="161">
        <v>4.4284055547000003</v>
      </c>
      <c r="AC166" s="162">
        <f>0.004+0.015</f>
        <v>1.9E-2</v>
      </c>
      <c r="AD166" s="161">
        <f>1.892+2.121</f>
        <v>4.0129999999999999</v>
      </c>
      <c r="AE166" s="162">
        <v>7.17E-2</v>
      </c>
      <c r="AF166" s="161">
        <v>29.051291739200003</v>
      </c>
      <c r="AG166" s="162">
        <v>1.5E-3</v>
      </c>
      <c r="AH166" s="161">
        <v>3.2287245000000002</v>
      </c>
      <c r="AI166" s="162"/>
      <c r="AJ166" s="163"/>
      <c r="AK166" s="162">
        <v>3.0000000000000001E-3</v>
      </c>
      <c r="AL166" s="161">
        <v>3.6564519990000002</v>
      </c>
      <c r="AM166" s="162">
        <v>7</v>
      </c>
      <c r="AN166" s="161">
        <v>16.288164380000001</v>
      </c>
      <c r="AO166" s="162"/>
      <c r="AP166" s="161"/>
      <c r="AQ166" s="165">
        <v>72</v>
      </c>
      <c r="AR166" s="166">
        <v>45.264876604200005</v>
      </c>
      <c r="AS166" s="162">
        <v>5.4999999999999997E-3</v>
      </c>
      <c r="AT166" s="161">
        <v>4.6694541999999997</v>
      </c>
      <c r="AU166" s="162">
        <f>0.693+55.178+5.785</f>
        <v>61.655999999999992</v>
      </c>
      <c r="AV166" s="167"/>
      <c r="AW166" s="168"/>
      <c r="AX166" s="168">
        <v>1</v>
      </c>
      <c r="AY166" s="168">
        <v>7.74</v>
      </c>
      <c r="AZ166" s="162">
        <v>1</v>
      </c>
      <c r="BA166" s="161">
        <v>5.5791599999999999</v>
      </c>
      <c r="BB166" s="169"/>
      <c r="BC166" s="170">
        <v>27.913</v>
      </c>
      <c r="BD166" s="153">
        <f t="shared" si="12"/>
        <v>503.64813847822006</v>
      </c>
      <c r="BE166" s="154">
        <f t="shared" si="10"/>
        <v>139.22560950112</v>
      </c>
      <c r="BF166" s="155">
        <f t="shared" si="11"/>
        <v>103.75</v>
      </c>
      <c r="BG166" s="149">
        <f t="shared" si="13"/>
        <v>47.183999999999997</v>
      </c>
      <c r="BH166" s="154">
        <v>8.7999999999999988E-3</v>
      </c>
      <c r="BI166" s="155">
        <v>10.45760950112</v>
      </c>
      <c r="BJ166" s="155"/>
      <c r="BK166" s="155"/>
      <c r="BL166" s="155"/>
      <c r="BM166" s="155"/>
      <c r="BN166" s="155">
        <v>1.6E-2</v>
      </c>
      <c r="BO166" s="155">
        <v>12.712</v>
      </c>
      <c r="BP166" s="171"/>
      <c r="BQ166" s="155"/>
      <c r="BR166" s="155">
        <v>58</v>
      </c>
      <c r="BS166" s="167">
        <v>116.056</v>
      </c>
      <c r="BT166" s="154">
        <v>7.9000000000000001E-2</v>
      </c>
      <c r="BU166" s="155">
        <v>15.65</v>
      </c>
      <c r="BV166" s="155">
        <v>18</v>
      </c>
      <c r="BW166" s="155">
        <v>3.6920000000000002</v>
      </c>
      <c r="BX166" s="159">
        <v>23</v>
      </c>
      <c r="BY166" s="155">
        <v>37.223999999999997</v>
      </c>
      <c r="BZ166" s="155">
        <v>303</v>
      </c>
      <c r="CA166" s="167">
        <v>47.183999999999997</v>
      </c>
    </row>
    <row r="167" spans="1:79">
      <c r="A167" s="132"/>
      <c r="B167" s="180" t="s">
        <v>220</v>
      </c>
      <c r="C167" s="181"/>
      <c r="D167" s="182"/>
      <c r="E167" s="183"/>
      <c r="F167" s="184"/>
      <c r="G167" s="184"/>
      <c r="H167" s="184"/>
      <c r="I167" s="184"/>
      <c r="J167" s="184"/>
      <c r="K167" s="185"/>
      <c r="L167" s="186"/>
      <c r="M167" s="187"/>
      <c r="N167" s="154"/>
      <c r="O167" s="155"/>
      <c r="P167" s="155"/>
      <c r="Q167" s="155"/>
      <c r="R167" s="162"/>
      <c r="S167" s="163"/>
      <c r="T167" s="163">
        <v>15</v>
      </c>
      <c r="U167" s="163">
        <v>2.0297596200000001</v>
      </c>
      <c r="V167" s="163"/>
      <c r="W167" s="161"/>
      <c r="X167" s="162"/>
      <c r="Y167" s="161"/>
      <c r="Z167" s="162">
        <v>2.6500000000000003E-2</v>
      </c>
      <c r="AA167" s="164">
        <f t="shared" si="14"/>
        <v>3.8536279767000003</v>
      </c>
      <c r="AB167" s="161">
        <v>3.9872179767000002</v>
      </c>
      <c r="AC167" s="162"/>
      <c r="AD167" s="161"/>
      <c r="AE167" s="162"/>
      <c r="AF167" s="161"/>
      <c r="AG167" s="162"/>
      <c r="AH167" s="161"/>
      <c r="AI167" s="162"/>
      <c r="AJ167" s="163"/>
      <c r="AK167" s="162"/>
      <c r="AL167" s="161"/>
      <c r="AM167" s="162">
        <v>2</v>
      </c>
      <c r="AN167" s="161">
        <v>6.2426219999999999</v>
      </c>
      <c r="AO167" s="162"/>
      <c r="AP167" s="161"/>
      <c r="AQ167" s="165"/>
      <c r="AR167" s="166"/>
      <c r="AS167" s="162"/>
      <c r="AT167" s="161"/>
      <c r="AU167" s="162"/>
      <c r="AV167" s="167"/>
      <c r="AW167" s="168"/>
      <c r="AX167" s="168"/>
      <c r="AY167" s="168"/>
      <c r="AZ167" s="162"/>
      <c r="BA167" s="161"/>
      <c r="BB167" s="169"/>
      <c r="BC167" s="170"/>
      <c r="BD167" s="153">
        <f t="shared" si="12"/>
        <v>40.587069767199999</v>
      </c>
      <c r="BE167" s="154">
        <f t="shared" si="10"/>
        <v>27.534470170500001</v>
      </c>
      <c r="BF167" s="155">
        <f t="shared" si="11"/>
        <v>0.48499999999999999</v>
      </c>
      <c r="BG167" s="149">
        <f t="shared" si="13"/>
        <v>0.308</v>
      </c>
      <c r="BH167" s="154"/>
      <c r="BI167" s="155"/>
      <c r="BJ167" s="155"/>
      <c r="BK167" s="155"/>
      <c r="BL167" s="155">
        <v>2.5000000000000001E-3</v>
      </c>
      <c r="BM167" s="155">
        <v>2.1714701705000001</v>
      </c>
      <c r="BN167" s="155"/>
      <c r="BO167" s="155"/>
      <c r="BP167" s="171"/>
      <c r="BQ167" s="155"/>
      <c r="BR167" s="155">
        <v>32</v>
      </c>
      <c r="BS167" s="167">
        <v>25.363</v>
      </c>
      <c r="BT167" s="154"/>
      <c r="BU167" s="155"/>
      <c r="BV167" s="155">
        <v>1</v>
      </c>
      <c r="BW167" s="155">
        <v>0.17699999999999999</v>
      </c>
      <c r="BX167" s="159"/>
      <c r="BY167" s="155"/>
      <c r="BZ167" s="155">
        <v>3</v>
      </c>
      <c r="CA167" s="167">
        <v>0.308</v>
      </c>
    </row>
    <row r="168" spans="1:79">
      <c r="A168" s="132"/>
      <c r="B168" s="173" t="s">
        <v>221</v>
      </c>
      <c r="C168" s="134"/>
      <c r="D168" s="135"/>
      <c r="E168" s="136"/>
      <c r="F168" s="137"/>
      <c r="G168" s="137"/>
      <c r="H168" s="137"/>
      <c r="I168" s="137"/>
      <c r="J168" s="137"/>
      <c r="K168" s="138"/>
      <c r="L168" s="139"/>
      <c r="M168" s="140"/>
      <c r="N168" s="154"/>
      <c r="O168" s="155"/>
      <c r="P168" s="155"/>
      <c r="Q168" s="155"/>
      <c r="R168" s="162"/>
      <c r="S168" s="163"/>
      <c r="T168" s="163"/>
      <c r="U168" s="163"/>
      <c r="V168" s="163"/>
      <c r="W168" s="161"/>
      <c r="X168" s="162"/>
      <c r="Y168" s="161"/>
      <c r="Z168" s="162">
        <v>0.2276</v>
      </c>
      <c r="AA168" s="164">
        <f t="shared" si="14"/>
        <v>24.997890667210001</v>
      </c>
      <c r="AB168" s="161">
        <v>25.131480667210003</v>
      </c>
      <c r="AC168" s="162"/>
      <c r="AD168" s="161"/>
      <c r="AE168" s="162">
        <v>1.2E-2</v>
      </c>
      <c r="AF168" s="161">
        <v>2.6764899999999998</v>
      </c>
      <c r="AG168" s="162"/>
      <c r="AH168" s="161"/>
      <c r="AI168" s="162"/>
      <c r="AJ168" s="163"/>
      <c r="AK168" s="162"/>
      <c r="AL168" s="161"/>
      <c r="AM168" s="162"/>
      <c r="AN168" s="161"/>
      <c r="AO168" s="162"/>
      <c r="AP168" s="161"/>
      <c r="AQ168" s="165">
        <v>16</v>
      </c>
      <c r="AR168" s="166">
        <v>3.4298639899999999</v>
      </c>
      <c r="AS168" s="162"/>
      <c r="AT168" s="161"/>
      <c r="AU168" s="162"/>
      <c r="AV168" s="167"/>
      <c r="AW168" s="168"/>
      <c r="AX168" s="168"/>
      <c r="AY168" s="168"/>
      <c r="AZ168" s="162"/>
      <c r="BA168" s="161"/>
      <c r="BB168" s="169"/>
      <c r="BC168" s="170">
        <v>1.1271326699999999</v>
      </c>
      <c r="BD168" s="153">
        <f t="shared" si="12"/>
        <v>160.83739060001</v>
      </c>
      <c r="BE168" s="154">
        <f t="shared" si="10"/>
        <v>93.346423272799996</v>
      </c>
      <c r="BF168" s="155">
        <f t="shared" si="11"/>
        <v>17.8</v>
      </c>
      <c r="BG168" s="149">
        <f t="shared" si="13"/>
        <v>17.326000000000001</v>
      </c>
      <c r="BH168" s="154">
        <v>3.0000000000000001E-3</v>
      </c>
      <c r="BI168" s="155">
        <v>2.0117799999999999</v>
      </c>
      <c r="BJ168" s="155">
        <v>3.0000000000000001E-3</v>
      </c>
      <c r="BK168" s="155">
        <v>2.5502910000000001</v>
      </c>
      <c r="BL168" s="155">
        <v>4.0000000000000001E-3</v>
      </c>
      <c r="BM168" s="155">
        <v>3.4743522728</v>
      </c>
      <c r="BN168" s="155"/>
      <c r="BO168" s="155"/>
      <c r="BP168" s="171"/>
      <c r="BQ168" s="155"/>
      <c r="BR168" s="155">
        <v>60</v>
      </c>
      <c r="BS168" s="167">
        <v>85.31</v>
      </c>
      <c r="BT168" s="154"/>
      <c r="BU168" s="155"/>
      <c r="BV168" s="155">
        <v>2</v>
      </c>
      <c r="BW168" s="155">
        <v>0.47399999999999998</v>
      </c>
      <c r="BX168" s="159"/>
      <c r="BY168" s="155"/>
      <c r="BZ168" s="155">
        <v>112</v>
      </c>
      <c r="CA168" s="167">
        <v>17.326000000000001</v>
      </c>
    </row>
    <row r="169" spans="1:79">
      <c r="A169" s="132"/>
      <c r="B169" s="173" t="s">
        <v>222</v>
      </c>
      <c r="C169" s="134"/>
      <c r="D169" s="135"/>
      <c r="E169" s="136"/>
      <c r="F169" s="137"/>
      <c r="G169" s="137"/>
      <c r="H169" s="137"/>
      <c r="I169" s="137"/>
      <c r="J169" s="137"/>
      <c r="K169" s="138"/>
      <c r="L169" s="139"/>
      <c r="M169" s="140"/>
      <c r="N169" s="154"/>
      <c r="O169" s="155"/>
      <c r="P169" s="155"/>
      <c r="Q169" s="155"/>
      <c r="R169" s="162"/>
      <c r="S169" s="163"/>
      <c r="T169" s="163">
        <v>2</v>
      </c>
      <c r="U169" s="163">
        <v>0.19800000000000001</v>
      </c>
      <c r="V169" s="163"/>
      <c r="W169" s="161"/>
      <c r="X169" s="162"/>
      <c r="Y169" s="161"/>
      <c r="Z169" s="162">
        <v>2.3999999999999998E-3</v>
      </c>
      <c r="AA169" s="164">
        <f t="shared" si="14"/>
        <v>0.23929061279999997</v>
      </c>
      <c r="AB169" s="161">
        <v>0.37288061279999996</v>
      </c>
      <c r="AC169" s="162"/>
      <c r="AD169" s="161"/>
      <c r="AE169" s="162"/>
      <c r="AF169" s="161"/>
      <c r="AG169" s="162"/>
      <c r="AH169" s="161"/>
      <c r="AI169" s="162"/>
      <c r="AJ169" s="163"/>
      <c r="AK169" s="162"/>
      <c r="AL169" s="161"/>
      <c r="AM169" s="162"/>
      <c r="AN169" s="161"/>
      <c r="AO169" s="162"/>
      <c r="AP169" s="161"/>
      <c r="AQ169" s="165"/>
      <c r="AR169" s="166"/>
      <c r="AS169" s="162"/>
      <c r="AT169" s="161"/>
      <c r="AU169" s="162"/>
      <c r="AV169" s="167"/>
      <c r="AW169" s="168"/>
      <c r="AX169" s="168"/>
      <c r="AY169" s="168"/>
      <c r="AZ169" s="162"/>
      <c r="BA169" s="161"/>
      <c r="BB169" s="169"/>
      <c r="BC169" s="170">
        <v>10.025916</v>
      </c>
      <c r="BD169" s="153">
        <f t="shared" si="12"/>
        <v>37.6207966128</v>
      </c>
      <c r="BE169" s="154">
        <f t="shared" si="10"/>
        <v>22.266999999999999</v>
      </c>
      <c r="BF169" s="155">
        <f t="shared" si="11"/>
        <v>2.73</v>
      </c>
      <c r="BG169" s="149">
        <f t="shared" si="13"/>
        <v>2.0270000000000001</v>
      </c>
      <c r="BH169" s="154"/>
      <c r="BI169" s="155"/>
      <c r="BJ169" s="155"/>
      <c r="BK169" s="155"/>
      <c r="BL169" s="155"/>
      <c r="BM169" s="155"/>
      <c r="BN169" s="155"/>
      <c r="BO169" s="155"/>
      <c r="BP169" s="171"/>
      <c r="BQ169" s="155"/>
      <c r="BR169" s="155">
        <v>16</v>
      </c>
      <c r="BS169" s="167">
        <v>22.266999999999999</v>
      </c>
      <c r="BT169" s="154"/>
      <c r="BU169" s="155"/>
      <c r="BV169" s="155">
        <v>3</v>
      </c>
      <c r="BW169" s="155">
        <v>0.70299999999999996</v>
      </c>
      <c r="BX169" s="159"/>
      <c r="BY169" s="155"/>
      <c r="BZ169" s="155">
        <v>15</v>
      </c>
      <c r="CA169" s="167">
        <v>2.0270000000000001</v>
      </c>
    </row>
    <row r="170" spans="1:79">
      <c r="A170" s="132"/>
      <c r="B170" s="173" t="s">
        <v>223</v>
      </c>
      <c r="C170" s="134"/>
      <c r="D170" s="135"/>
      <c r="E170" s="136"/>
      <c r="F170" s="137"/>
      <c r="G170" s="137"/>
      <c r="H170" s="137"/>
      <c r="I170" s="137"/>
      <c r="J170" s="137"/>
      <c r="K170" s="138"/>
      <c r="L170" s="139"/>
      <c r="M170" s="140"/>
      <c r="N170" s="154">
        <v>4.0000000000000001E-3</v>
      </c>
      <c r="O170" s="155">
        <v>0.23993511812000001</v>
      </c>
      <c r="P170" s="155"/>
      <c r="Q170" s="155"/>
      <c r="R170" s="162"/>
      <c r="S170" s="163"/>
      <c r="T170" s="163">
        <v>14</v>
      </c>
      <c r="U170" s="163">
        <v>7.1940294299999996</v>
      </c>
      <c r="V170" s="163">
        <v>1.7000000000000001E-2</v>
      </c>
      <c r="W170" s="161">
        <v>155.03018</v>
      </c>
      <c r="X170" s="162"/>
      <c r="Y170" s="161"/>
      <c r="Z170" s="162">
        <v>1.1999999999999999E-3</v>
      </c>
      <c r="AA170" s="164">
        <f t="shared" si="14"/>
        <v>5.2850306399999991E-2</v>
      </c>
      <c r="AB170" s="161">
        <v>0.18644030639999998</v>
      </c>
      <c r="AC170" s="162"/>
      <c r="AD170" s="161"/>
      <c r="AE170" s="162"/>
      <c r="AF170" s="161"/>
      <c r="AG170" s="162"/>
      <c r="AH170" s="161"/>
      <c r="AI170" s="162"/>
      <c r="AJ170" s="163"/>
      <c r="AK170" s="162">
        <v>2E-3</v>
      </c>
      <c r="AL170" s="161">
        <v>2.4376346660000001</v>
      </c>
      <c r="AM170" s="162"/>
      <c r="AN170" s="161"/>
      <c r="AO170" s="162"/>
      <c r="AP170" s="161"/>
      <c r="AQ170" s="165"/>
      <c r="AR170" s="166"/>
      <c r="AS170" s="162"/>
      <c r="AT170" s="161"/>
      <c r="AU170" s="162"/>
      <c r="AV170" s="167"/>
      <c r="AW170" s="168"/>
      <c r="AX170" s="168"/>
      <c r="AY170" s="168"/>
      <c r="AZ170" s="162"/>
      <c r="BA170" s="161"/>
      <c r="BB170" s="169"/>
      <c r="BC170" s="170">
        <v>5.3386148030000005</v>
      </c>
      <c r="BD170" s="153">
        <f t="shared" si="12"/>
        <v>280.42566927051996</v>
      </c>
      <c r="BE170" s="154">
        <f t="shared" si="10"/>
        <v>103.58983494699999</v>
      </c>
      <c r="BF170" s="155">
        <f t="shared" si="11"/>
        <v>3.89</v>
      </c>
      <c r="BG170" s="149">
        <f t="shared" si="13"/>
        <v>2.5190000000000001</v>
      </c>
      <c r="BH170" s="154"/>
      <c r="BI170" s="155"/>
      <c r="BJ170" s="155">
        <v>1E-3</v>
      </c>
      <c r="BK170" s="155">
        <v>1.003927097</v>
      </c>
      <c r="BL170" s="155">
        <v>4.65E-2</v>
      </c>
      <c r="BM170" s="155">
        <v>62.865952499999992</v>
      </c>
      <c r="BN170" s="155"/>
      <c r="BO170" s="155"/>
      <c r="BP170" s="171">
        <v>2</v>
      </c>
      <c r="BQ170" s="155">
        <v>5.7739553499999996</v>
      </c>
      <c r="BR170" s="155">
        <v>26</v>
      </c>
      <c r="BS170" s="167">
        <v>33.945999999999998</v>
      </c>
      <c r="BT170" s="154"/>
      <c r="BU170" s="155"/>
      <c r="BV170" s="155"/>
      <c r="BW170" s="155"/>
      <c r="BX170" s="159">
        <v>1</v>
      </c>
      <c r="BY170" s="155">
        <v>1.371</v>
      </c>
      <c r="BZ170" s="155">
        <v>17</v>
      </c>
      <c r="CA170" s="167">
        <v>2.5190000000000001</v>
      </c>
    </row>
    <row r="171" spans="1:79">
      <c r="A171" s="132"/>
      <c r="B171" s="173" t="s">
        <v>224</v>
      </c>
      <c r="C171" s="134"/>
      <c r="D171" s="135"/>
      <c r="E171" s="136"/>
      <c r="F171" s="137"/>
      <c r="G171" s="137"/>
      <c r="H171" s="137"/>
      <c r="I171" s="137"/>
      <c r="J171" s="137"/>
      <c r="K171" s="138"/>
      <c r="L171" s="139"/>
      <c r="M171" s="140"/>
      <c r="N171" s="154"/>
      <c r="O171" s="155"/>
      <c r="P171" s="155"/>
      <c r="Q171" s="155"/>
      <c r="R171" s="162"/>
      <c r="S171" s="163"/>
      <c r="T171" s="163"/>
      <c r="U171" s="163"/>
      <c r="V171" s="163"/>
      <c r="W171" s="161"/>
      <c r="X171" s="162"/>
      <c r="Y171" s="161"/>
      <c r="Z171" s="162"/>
      <c r="AA171" s="164"/>
      <c r="AB171" s="161"/>
      <c r="AC171" s="162"/>
      <c r="AD171" s="161"/>
      <c r="AE171" s="162"/>
      <c r="AF171" s="161"/>
      <c r="AG171" s="162"/>
      <c r="AH171" s="161"/>
      <c r="AI171" s="162"/>
      <c r="AJ171" s="163"/>
      <c r="AK171" s="162"/>
      <c r="AL171" s="161"/>
      <c r="AM171" s="162"/>
      <c r="AN171" s="161"/>
      <c r="AO171" s="162"/>
      <c r="AP171" s="161"/>
      <c r="AQ171" s="165">
        <v>7</v>
      </c>
      <c r="AR171" s="166">
        <v>2.6477034000000002</v>
      </c>
      <c r="AS171" s="162"/>
      <c r="AT171" s="161"/>
      <c r="AU171" s="162"/>
      <c r="AV171" s="167"/>
      <c r="AW171" s="168"/>
      <c r="AX171" s="168"/>
      <c r="AY171" s="168"/>
      <c r="AZ171" s="162">
        <v>1</v>
      </c>
      <c r="BA171" s="161">
        <v>8.6707245499999992</v>
      </c>
      <c r="BB171" s="169"/>
      <c r="BC171" s="170">
        <v>11.507999999999999</v>
      </c>
      <c r="BD171" s="153">
        <f t="shared" si="12"/>
        <v>80.845026950000005</v>
      </c>
      <c r="BE171" s="154">
        <f t="shared" si="10"/>
        <v>28.713599000000002</v>
      </c>
      <c r="BF171" s="155">
        <f t="shared" si="11"/>
        <v>22.042000000000002</v>
      </c>
      <c r="BG171" s="149">
        <f t="shared" si="13"/>
        <v>7.2629999999999999</v>
      </c>
      <c r="BH171" s="154"/>
      <c r="BI171" s="155"/>
      <c r="BJ171" s="155"/>
      <c r="BK171" s="155"/>
      <c r="BL171" s="155">
        <v>1E-3</v>
      </c>
      <c r="BM171" s="155">
        <v>0.5905990000000001</v>
      </c>
      <c r="BN171" s="155"/>
      <c r="BO171" s="155"/>
      <c r="BP171" s="171"/>
      <c r="BQ171" s="155"/>
      <c r="BR171" s="155">
        <v>19</v>
      </c>
      <c r="BS171" s="167">
        <v>28.123000000000001</v>
      </c>
      <c r="BT171" s="154">
        <v>1.0999999999999999E-2</v>
      </c>
      <c r="BU171" s="155">
        <v>2.379</v>
      </c>
      <c r="BV171" s="155">
        <v>1</v>
      </c>
      <c r="BW171" s="155">
        <v>0.24399999999999999</v>
      </c>
      <c r="BX171" s="159">
        <v>5</v>
      </c>
      <c r="BY171" s="155">
        <v>12.156000000000001</v>
      </c>
      <c r="BZ171" s="155">
        <v>46</v>
      </c>
      <c r="CA171" s="167">
        <v>7.2629999999999999</v>
      </c>
    </row>
    <row r="172" spans="1:79">
      <c r="A172" s="132"/>
      <c r="B172" s="173" t="s">
        <v>225</v>
      </c>
      <c r="C172" s="134"/>
      <c r="D172" s="135"/>
      <c r="E172" s="136"/>
      <c r="F172" s="137"/>
      <c r="G172" s="137"/>
      <c r="H172" s="137"/>
      <c r="I172" s="137"/>
      <c r="J172" s="137"/>
      <c r="K172" s="138"/>
      <c r="L172" s="139"/>
      <c r="M172" s="140"/>
      <c r="N172" s="154">
        <v>0.06</v>
      </c>
      <c r="O172" s="155">
        <v>47.405211941999994</v>
      </c>
      <c r="P172" s="155"/>
      <c r="Q172" s="155"/>
      <c r="R172" s="162"/>
      <c r="S172" s="163"/>
      <c r="T172" s="163"/>
      <c r="U172" s="163"/>
      <c r="V172" s="163"/>
      <c r="W172" s="161"/>
      <c r="X172" s="162"/>
      <c r="Y172" s="161"/>
      <c r="Z172" s="162"/>
      <c r="AA172" s="164"/>
      <c r="AB172" s="161"/>
      <c r="AC172" s="162"/>
      <c r="AD172" s="161"/>
      <c r="AE172" s="162"/>
      <c r="AF172" s="161"/>
      <c r="AG172" s="162"/>
      <c r="AH172" s="161"/>
      <c r="AI172" s="162"/>
      <c r="AJ172" s="163"/>
      <c r="AK172" s="162"/>
      <c r="AL172" s="161"/>
      <c r="AM172" s="162"/>
      <c r="AN172" s="161"/>
      <c r="AO172" s="162"/>
      <c r="AP172" s="161"/>
      <c r="AQ172" s="165"/>
      <c r="AR172" s="166"/>
      <c r="AS172" s="162"/>
      <c r="AT172" s="161"/>
      <c r="AU172" s="162"/>
      <c r="AV172" s="167"/>
      <c r="AW172" s="168"/>
      <c r="AX172" s="168"/>
      <c r="AY172" s="168"/>
      <c r="AZ172" s="162"/>
      <c r="BA172" s="161"/>
      <c r="BB172" s="169"/>
      <c r="BC172" s="170"/>
      <c r="BD172" s="153">
        <f t="shared" si="12"/>
        <v>47.405211941999994</v>
      </c>
      <c r="BE172" s="154">
        <f t="shared" si="10"/>
        <v>0</v>
      </c>
      <c r="BF172" s="155">
        <f t="shared" si="11"/>
        <v>0</v>
      </c>
      <c r="BG172" s="149">
        <f t="shared" si="13"/>
        <v>0</v>
      </c>
      <c r="BH172" s="154"/>
      <c r="BI172" s="155"/>
      <c r="BJ172" s="155"/>
      <c r="BK172" s="155"/>
      <c r="BL172" s="155"/>
      <c r="BM172" s="155"/>
      <c r="BN172" s="155"/>
      <c r="BO172" s="155"/>
      <c r="BP172" s="171"/>
      <c r="BQ172" s="155"/>
      <c r="BR172" s="155"/>
      <c r="BS172" s="167"/>
      <c r="BT172" s="154"/>
      <c r="BU172" s="155"/>
      <c r="BV172" s="155"/>
      <c r="BW172" s="155"/>
      <c r="BX172" s="159"/>
      <c r="BY172" s="155"/>
      <c r="BZ172" s="155"/>
      <c r="CA172" s="167"/>
    </row>
    <row r="173" spans="1:79">
      <c r="A173" s="132"/>
      <c r="B173" s="173" t="s">
        <v>226</v>
      </c>
      <c r="C173" s="134"/>
      <c r="D173" s="135"/>
      <c r="E173" s="136"/>
      <c r="F173" s="137"/>
      <c r="G173" s="137"/>
      <c r="H173" s="137"/>
      <c r="I173" s="137"/>
      <c r="J173" s="137"/>
      <c r="K173" s="138"/>
      <c r="L173" s="139"/>
      <c r="M173" s="140"/>
      <c r="N173" s="154"/>
      <c r="O173" s="155"/>
      <c r="P173" s="155"/>
      <c r="Q173" s="155"/>
      <c r="R173" s="162"/>
      <c r="S173" s="163"/>
      <c r="T173" s="163">
        <v>22</v>
      </c>
      <c r="U173" s="163">
        <v>2.0756609418599998</v>
      </c>
      <c r="V173" s="163"/>
      <c r="W173" s="161"/>
      <c r="X173" s="162"/>
      <c r="Y173" s="161"/>
      <c r="Z173" s="162"/>
      <c r="AA173" s="164"/>
      <c r="AB173" s="161"/>
      <c r="AC173" s="162">
        <f>0.075+0.003</f>
        <v>7.8E-2</v>
      </c>
      <c r="AD173" s="161">
        <f>111.624+2.205</f>
        <v>113.82899999999999</v>
      </c>
      <c r="AE173" s="162"/>
      <c r="AF173" s="161"/>
      <c r="AG173" s="162"/>
      <c r="AH173" s="161"/>
      <c r="AI173" s="162"/>
      <c r="AJ173" s="163"/>
      <c r="AK173" s="162"/>
      <c r="AL173" s="161"/>
      <c r="AM173" s="162">
        <v>2</v>
      </c>
      <c r="AN173" s="161">
        <v>4.1121150000000002</v>
      </c>
      <c r="AO173" s="162"/>
      <c r="AP173" s="161"/>
      <c r="AQ173" s="165">
        <v>6</v>
      </c>
      <c r="AR173" s="166">
        <v>13.621031</v>
      </c>
      <c r="AS173" s="162"/>
      <c r="AT173" s="161"/>
      <c r="AU173" s="162"/>
      <c r="AV173" s="167"/>
      <c r="AW173" s="168"/>
      <c r="AX173" s="168"/>
      <c r="AY173" s="168"/>
      <c r="AZ173" s="162"/>
      <c r="BA173" s="161"/>
      <c r="BB173" s="169"/>
      <c r="BC173" s="170">
        <v>2.3650000000000002</v>
      </c>
      <c r="BD173" s="153">
        <f t="shared" si="12"/>
        <v>176.17680694186001</v>
      </c>
      <c r="BE173" s="154">
        <f t="shared" si="10"/>
        <v>4.298</v>
      </c>
      <c r="BF173" s="155">
        <f t="shared" si="11"/>
        <v>29.262999999999998</v>
      </c>
      <c r="BG173" s="149">
        <f t="shared" si="13"/>
        <v>6.6130000000000004</v>
      </c>
      <c r="BH173" s="154"/>
      <c r="BI173" s="155"/>
      <c r="BJ173" s="155"/>
      <c r="BK173" s="155"/>
      <c r="BL173" s="155"/>
      <c r="BM173" s="155"/>
      <c r="BN173" s="155"/>
      <c r="BO173" s="155"/>
      <c r="BP173" s="171"/>
      <c r="BQ173" s="155"/>
      <c r="BR173" s="155">
        <v>4</v>
      </c>
      <c r="BS173" s="167">
        <v>4.298</v>
      </c>
      <c r="BT173" s="154">
        <v>0.05</v>
      </c>
      <c r="BU173" s="155">
        <v>12.866</v>
      </c>
      <c r="BV173" s="155">
        <v>4</v>
      </c>
      <c r="BW173" s="155">
        <v>1.0780000000000001</v>
      </c>
      <c r="BX173" s="159">
        <v>3</v>
      </c>
      <c r="BY173" s="155">
        <v>8.7059999999999995</v>
      </c>
      <c r="BZ173" s="155">
        <v>36</v>
      </c>
      <c r="CA173" s="167">
        <v>6.6130000000000004</v>
      </c>
    </row>
    <row r="174" spans="1:79">
      <c r="A174" s="132"/>
      <c r="B174" s="188" t="s">
        <v>227</v>
      </c>
      <c r="C174" s="134"/>
      <c r="D174" s="135"/>
      <c r="E174" s="136"/>
      <c r="F174" s="137"/>
      <c r="G174" s="137"/>
      <c r="H174" s="137"/>
      <c r="I174" s="137"/>
      <c r="J174" s="137"/>
      <c r="K174" s="138"/>
      <c r="L174" s="139"/>
      <c r="M174" s="140"/>
      <c r="N174" s="154"/>
      <c r="O174" s="155"/>
      <c r="P174" s="155"/>
      <c r="Q174" s="155"/>
      <c r="R174" s="162"/>
      <c r="S174" s="163"/>
      <c r="T174" s="163"/>
      <c r="U174" s="163"/>
      <c r="V174" s="163"/>
      <c r="W174" s="161"/>
      <c r="X174" s="162"/>
      <c r="Y174" s="161"/>
      <c r="Z174" s="162"/>
      <c r="AA174" s="164"/>
      <c r="AB174" s="161"/>
      <c r="AC174" s="162"/>
      <c r="AD174" s="161"/>
      <c r="AE174" s="162"/>
      <c r="AF174" s="161"/>
      <c r="AG174" s="162"/>
      <c r="AH174" s="161"/>
      <c r="AI174" s="162"/>
      <c r="AJ174" s="163"/>
      <c r="AK174" s="162"/>
      <c r="AL174" s="161"/>
      <c r="AM174" s="162"/>
      <c r="AN174" s="161"/>
      <c r="AO174" s="162"/>
      <c r="AP174" s="161"/>
      <c r="AQ174" s="165"/>
      <c r="AR174" s="166"/>
      <c r="AS174" s="162"/>
      <c r="AT174" s="161"/>
      <c r="AU174" s="162"/>
      <c r="AV174" s="167"/>
      <c r="AW174" s="168"/>
      <c r="AX174" s="168"/>
      <c r="AY174" s="168"/>
      <c r="AZ174" s="162"/>
      <c r="BA174" s="161"/>
      <c r="BB174" s="169"/>
      <c r="BC174" s="170">
        <v>12.181236135000001</v>
      </c>
      <c r="BD174" s="153">
        <f t="shared" si="12"/>
        <v>31.9606518525</v>
      </c>
      <c r="BE174" s="154">
        <f t="shared" si="10"/>
        <v>16.2234157175</v>
      </c>
      <c r="BF174" s="155">
        <f t="shared" si="11"/>
        <v>1.778</v>
      </c>
      <c r="BG174" s="149">
        <f t="shared" si="13"/>
        <v>1.778</v>
      </c>
      <c r="BH174" s="154"/>
      <c r="BI174" s="155"/>
      <c r="BJ174" s="155">
        <v>2.5000000000000001E-3</v>
      </c>
      <c r="BK174" s="155">
        <v>2.3974157174999999</v>
      </c>
      <c r="BL174" s="155"/>
      <c r="BM174" s="155"/>
      <c r="BN174" s="155">
        <v>1E-3</v>
      </c>
      <c r="BO174" s="155">
        <v>0.63900000000000001</v>
      </c>
      <c r="BP174" s="171"/>
      <c r="BQ174" s="155"/>
      <c r="BR174" s="155">
        <v>10</v>
      </c>
      <c r="BS174" s="167">
        <v>13.186999999999999</v>
      </c>
      <c r="BT174" s="154"/>
      <c r="BU174" s="155"/>
      <c r="BV174" s="155"/>
      <c r="BW174" s="155"/>
      <c r="BX174" s="159"/>
      <c r="BY174" s="155"/>
      <c r="BZ174" s="155">
        <v>17</v>
      </c>
      <c r="CA174" s="167">
        <v>1.778</v>
      </c>
    </row>
    <row r="175" spans="1:79">
      <c r="A175" s="132"/>
      <c r="B175" s="173" t="s">
        <v>228</v>
      </c>
      <c r="C175" s="134"/>
      <c r="D175" s="135"/>
      <c r="E175" s="136"/>
      <c r="F175" s="137"/>
      <c r="G175" s="137"/>
      <c r="H175" s="137"/>
      <c r="I175" s="137"/>
      <c r="J175" s="137"/>
      <c r="K175" s="138"/>
      <c r="L175" s="139"/>
      <c r="M175" s="140"/>
      <c r="N175" s="154"/>
      <c r="O175" s="155"/>
      <c r="P175" s="155"/>
      <c r="Q175" s="155"/>
      <c r="R175" s="162"/>
      <c r="S175" s="163"/>
      <c r="T175" s="163"/>
      <c r="U175" s="163"/>
      <c r="V175" s="163"/>
      <c r="W175" s="161"/>
      <c r="X175" s="162"/>
      <c r="Y175" s="161"/>
      <c r="Z175" s="162"/>
      <c r="AA175" s="164"/>
      <c r="AB175" s="161"/>
      <c r="AC175" s="162"/>
      <c r="AD175" s="161"/>
      <c r="AE175" s="162"/>
      <c r="AF175" s="161"/>
      <c r="AG175" s="162"/>
      <c r="AH175" s="161"/>
      <c r="AI175" s="162"/>
      <c r="AJ175" s="163"/>
      <c r="AK175" s="162">
        <v>1E-3</v>
      </c>
      <c r="AL175" s="161">
        <v>1.5747199999999999</v>
      </c>
      <c r="AM175" s="162"/>
      <c r="AN175" s="161"/>
      <c r="AO175" s="162"/>
      <c r="AP175" s="161"/>
      <c r="AQ175" s="165">
        <v>8</v>
      </c>
      <c r="AR175" s="166">
        <v>4.6231431599999997</v>
      </c>
      <c r="AS175" s="162"/>
      <c r="AT175" s="161"/>
      <c r="AU175" s="162"/>
      <c r="AV175" s="167"/>
      <c r="AW175" s="168"/>
      <c r="AX175" s="168"/>
      <c r="AY175" s="168"/>
      <c r="AZ175" s="162"/>
      <c r="BA175" s="161"/>
      <c r="BB175" s="169"/>
      <c r="BC175" s="170">
        <v>2.6798247909999997</v>
      </c>
      <c r="BD175" s="153">
        <f t="shared" si="12"/>
        <v>36.479687951000002</v>
      </c>
      <c r="BE175" s="154">
        <f t="shared" si="10"/>
        <v>9.8840000000000003</v>
      </c>
      <c r="BF175" s="155">
        <f t="shared" si="11"/>
        <v>9.5080000000000009</v>
      </c>
      <c r="BG175" s="149">
        <f t="shared" si="13"/>
        <v>8.2100000000000009</v>
      </c>
      <c r="BH175" s="154"/>
      <c r="BI175" s="155"/>
      <c r="BJ175" s="155"/>
      <c r="BK175" s="155"/>
      <c r="BL175" s="155"/>
      <c r="BM175" s="155"/>
      <c r="BN175" s="155">
        <v>2E-3</v>
      </c>
      <c r="BO175" s="155">
        <v>0.95899999999999996</v>
      </c>
      <c r="BP175" s="171"/>
      <c r="BQ175" s="155"/>
      <c r="BR175" s="155">
        <v>7</v>
      </c>
      <c r="BS175" s="167">
        <v>8.9250000000000007</v>
      </c>
      <c r="BT175" s="154">
        <v>6.0000000000000001E-3</v>
      </c>
      <c r="BU175" s="155">
        <v>1.298</v>
      </c>
      <c r="BV175" s="155"/>
      <c r="BW175" s="155"/>
      <c r="BX175" s="159"/>
      <c r="BY175" s="155"/>
      <c r="BZ175" s="155">
        <v>56</v>
      </c>
      <c r="CA175" s="167">
        <v>8.2100000000000009</v>
      </c>
    </row>
    <row r="176" spans="1:79">
      <c r="A176" s="132"/>
      <c r="B176" s="173" t="s">
        <v>229</v>
      </c>
      <c r="C176" s="134"/>
      <c r="D176" s="135"/>
      <c r="E176" s="136"/>
      <c r="F176" s="137"/>
      <c r="G176" s="137"/>
      <c r="H176" s="137"/>
      <c r="I176" s="137"/>
      <c r="J176" s="137"/>
      <c r="K176" s="138"/>
      <c r="L176" s="139"/>
      <c r="M176" s="140"/>
      <c r="N176" s="154"/>
      <c r="O176" s="155"/>
      <c r="P176" s="155"/>
      <c r="Q176" s="155"/>
      <c r="R176" s="162"/>
      <c r="S176" s="163"/>
      <c r="T176" s="163">
        <v>39</v>
      </c>
      <c r="U176" s="163">
        <v>3.6789999999999998</v>
      </c>
      <c r="V176" s="163"/>
      <c r="W176" s="161"/>
      <c r="X176" s="162"/>
      <c r="Y176" s="161"/>
      <c r="Z176" s="162"/>
      <c r="AA176" s="164"/>
      <c r="AB176" s="161"/>
      <c r="AC176" s="162"/>
      <c r="AD176" s="161"/>
      <c r="AE176" s="162"/>
      <c r="AF176" s="161"/>
      <c r="AG176" s="162"/>
      <c r="AH176" s="161"/>
      <c r="AI176" s="162"/>
      <c r="AJ176" s="163"/>
      <c r="AK176" s="162"/>
      <c r="AL176" s="161"/>
      <c r="AM176" s="162"/>
      <c r="AN176" s="161"/>
      <c r="AO176" s="162"/>
      <c r="AP176" s="161"/>
      <c r="AQ176" s="165">
        <v>6</v>
      </c>
      <c r="AR176" s="166">
        <v>3.3148554560000001</v>
      </c>
      <c r="AS176" s="162"/>
      <c r="AT176" s="161"/>
      <c r="AU176" s="162"/>
      <c r="AV176" s="167"/>
      <c r="AW176" s="168"/>
      <c r="AX176" s="168"/>
      <c r="AY176" s="168"/>
      <c r="AZ176" s="162"/>
      <c r="BA176" s="161"/>
      <c r="BB176" s="169">
        <v>11.795999999999999</v>
      </c>
      <c r="BC176" s="170">
        <v>4.7373792009999995</v>
      </c>
      <c r="BD176" s="153">
        <f t="shared" si="12"/>
        <v>68.23209980499999</v>
      </c>
      <c r="BE176" s="154">
        <f t="shared" si="10"/>
        <v>17.220865148000001</v>
      </c>
      <c r="BF176" s="155">
        <f t="shared" si="11"/>
        <v>17.157</v>
      </c>
      <c r="BG176" s="149">
        <f t="shared" si="13"/>
        <v>10.327</v>
      </c>
      <c r="BH176" s="154"/>
      <c r="BI176" s="155"/>
      <c r="BJ176" s="155">
        <v>4.0000000000000001E-3</v>
      </c>
      <c r="BK176" s="155">
        <v>3.8358651479999999</v>
      </c>
      <c r="BL176" s="155"/>
      <c r="BM176" s="155"/>
      <c r="BN176" s="155">
        <v>2E-3</v>
      </c>
      <c r="BO176" s="155">
        <v>0.95899999999999996</v>
      </c>
      <c r="BP176" s="171"/>
      <c r="BQ176" s="155"/>
      <c r="BR176" s="155">
        <v>12</v>
      </c>
      <c r="BS176" s="167">
        <v>12.426</v>
      </c>
      <c r="BT176" s="154">
        <v>1.6E-2</v>
      </c>
      <c r="BU176" s="155">
        <v>4.117</v>
      </c>
      <c r="BV176" s="155">
        <v>1</v>
      </c>
      <c r="BW176" s="155">
        <v>0.23599999999999999</v>
      </c>
      <c r="BX176" s="159">
        <v>1</v>
      </c>
      <c r="BY176" s="155">
        <v>2.4769999999999999</v>
      </c>
      <c r="BZ176" s="155">
        <v>84</v>
      </c>
      <c r="CA176" s="167">
        <v>10.327</v>
      </c>
    </row>
    <row r="177" spans="1:79">
      <c r="A177" s="132"/>
      <c r="B177" s="173" t="s">
        <v>230</v>
      </c>
      <c r="C177" s="134"/>
      <c r="D177" s="135"/>
      <c r="E177" s="136"/>
      <c r="F177" s="137"/>
      <c r="G177" s="137"/>
      <c r="H177" s="137"/>
      <c r="I177" s="137"/>
      <c r="J177" s="137"/>
      <c r="K177" s="138"/>
      <c r="L177" s="139"/>
      <c r="M177" s="140"/>
      <c r="N177" s="154"/>
      <c r="O177" s="155"/>
      <c r="P177" s="155"/>
      <c r="Q177" s="155"/>
      <c r="R177" s="162"/>
      <c r="S177" s="163"/>
      <c r="T177" s="163"/>
      <c r="U177" s="163"/>
      <c r="V177" s="163"/>
      <c r="W177" s="161"/>
      <c r="X177" s="162"/>
      <c r="Y177" s="161"/>
      <c r="Z177" s="162"/>
      <c r="AA177" s="164"/>
      <c r="AB177" s="161"/>
      <c r="AC177" s="162">
        <v>3.0000000000000001E-3</v>
      </c>
      <c r="AD177" s="161">
        <v>1.3249176416099999</v>
      </c>
      <c r="AE177" s="162"/>
      <c r="AF177" s="161"/>
      <c r="AG177" s="162">
        <v>3.0000000000000001E-3</v>
      </c>
      <c r="AH177" s="161">
        <v>6.2566709999999999</v>
      </c>
      <c r="AI177" s="162"/>
      <c r="AJ177" s="163"/>
      <c r="AK177" s="162"/>
      <c r="AL177" s="161"/>
      <c r="AM177" s="162"/>
      <c r="AN177" s="161"/>
      <c r="AO177" s="162"/>
      <c r="AP177" s="161"/>
      <c r="AQ177" s="165"/>
      <c r="AR177" s="166"/>
      <c r="AS177" s="162"/>
      <c r="AT177" s="161"/>
      <c r="AU177" s="162"/>
      <c r="AV177" s="167"/>
      <c r="AW177" s="168"/>
      <c r="AX177" s="168"/>
      <c r="AY177" s="168"/>
      <c r="AZ177" s="162"/>
      <c r="BA177" s="161"/>
      <c r="BB177" s="169"/>
      <c r="BC177" s="170">
        <v>3.395388498</v>
      </c>
      <c r="BD177" s="153">
        <f t="shared" si="12"/>
        <v>55.429392857110003</v>
      </c>
      <c r="BE177" s="154">
        <f t="shared" si="10"/>
        <v>37.296415717499997</v>
      </c>
      <c r="BF177" s="155">
        <f t="shared" si="11"/>
        <v>3.5779999999999998</v>
      </c>
      <c r="BG177" s="149">
        <f t="shared" si="13"/>
        <v>3.5779999999999998</v>
      </c>
      <c r="BH177" s="154"/>
      <c r="BI177" s="155"/>
      <c r="BJ177" s="155">
        <v>2.5000000000000001E-3</v>
      </c>
      <c r="BK177" s="155">
        <v>2.3974157174999999</v>
      </c>
      <c r="BL177" s="155"/>
      <c r="BM177" s="155"/>
      <c r="BN177" s="155">
        <v>1E-3</v>
      </c>
      <c r="BO177" s="155">
        <v>0.63900000000000001</v>
      </c>
      <c r="BP177" s="171"/>
      <c r="BQ177" s="155"/>
      <c r="BR177" s="155">
        <v>21</v>
      </c>
      <c r="BS177" s="167">
        <v>34.26</v>
      </c>
      <c r="BT177" s="154"/>
      <c r="BU177" s="155"/>
      <c r="BV177" s="155"/>
      <c r="BW177" s="155"/>
      <c r="BX177" s="159"/>
      <c r="BY177" s="155"/>
      <c r="BZ177" s="155">
        <v>29</v>
      </c>
      <c r="CA177" s="167">
        <v>3.5779999999999998</v>
      </c>
    </row>
    <row r="178" spans="1:79">
      <c r="A178" s="132"/>
      <c r="B178" s="178" t="s">
        <v>231</v>
      </c>
      <c r="C178" s="134"/>
      <c r="D178" s="135"/>
      <c r="E178" s="136"/>
      <c r="F178" s="137"/>
      <c r="G178" s="137"/>
      <c r="H178" s="137"/>
      <c r="I178" s="137"/>
      <c r="J178" s="137"/>
      <c r="K178" s="138"/>
      <c r="L178" s="139"/>
      <c r="M178" s="140"/>
      <c r="N178" s="154"/>
      <c r="O178" s="155"/>
      <c r="P178" s="155"/>
      <c r="Q178" s="155"/>
      <c r="R178" s="162"/>
      <c r="S178" s="163"/>
      <c r="T178" s="163"/>
      <c r="U178" s="163"/>
      <c r="V178" s="163"/>
      <c r="W178" s="161"/>
      <c r="X178" s="162"/>
      <c r="Y178" s="161"/>
      <c r="Z178" s="162">
        <v>1E-3</v>
      </c>
      <c r="AA178" s="164">
        <f t="shared" si="14"/>
        <v>0.51049200000000006</v>
      </c>
      <c r="AB178" s="161">
        <v>0.64408200000000004</v>
      </c>
      <c r="AC178" s="162">
        <v>2.4E-2</v>
      </c>
      <c r="AD178" s="161">
        <v>7.7508240000000006</v>
      </c>
      <c r="AE178" s="162"/>
      <c r="AF178" s="161"/>
      <c r="AG178" s="162"/>
      <c r="AH178" s="161"/>
      <c r="AI178" s="162"/>
      <c r="AJ178" s="163"/>
      <c r="AK178" s="162"/>
      <c r="AL178" s="161"/>
      <c r="AM178" s="162">
        <v>1</v>
      </c>
      <c r="AN178" s="161">
        <v>5.0031872000000011</v>
      </c>
      <c r="AO178" s="162"/>
      <c r="AP178" s="161"/>
      <c r="AQ178" s="165"/>
      <c r="AR178" s="166"/>
      <c r="AS178" s="162"/>
      <c r="AT178" s="161"/>
      <c r="AU178" s="162"/>
      <c r="AV178" s="167"/>
      <c r="AW178" s="168"/>
      <c r="AX178" s="168"/>
      <c r="AY178" s="168"/>
      <c r="AZ178" s="162"/>
      <c r="BA178" s="161"/>
      <c r="BB178" s="169"/>
      <c r="BC178" s="170">
        <v>7.9587656877999997</v>
      </c>
      <c r="BD178" s="153">
        <f t="shared" si="12"/>
        <v>71.191218178599996</v>
      </c>
      <c r="BE178" s="154">
        <f t="shared" si="10"/>
        <v>29.058359290799999</v>
      </c>
      <c r="BF178" s="155">
        <f t="shared" si="11"/>
        <v>11.678000000000001</v>
      </c>
      <c r="BG178" s="149">
        <f t="shared" si="13"/>
        <v>9.0980000000000008</v>
      </c>
      <c r="BH178" s="154"/>
      <c r="BI178" s="155"/>
      <c r="BJ178" s="155"/>
      <c r="BK178" s="155"/>
      <c r="BL178" s="155">
        <v>1.15E-2</v>
      </c>
      <c r="BM178" s="155">
        <v>9.3215196907999989</v>
      </c>
      <c r="BN178" s="155">
        <v>4.0000000000000001E-3</v>
      </c>
      <c r="BO178" s="155">
        <v>2.6040000000000001</v>
      </c>
      <c r="BP178" s="171">
        <v>2</v>
      </c>
      <c r="BQ178" s="155">
        <v>7.6478396000000002</v>
      </c>
      <c r="BR178" s="155">
        <v>7</v>
      </c>
      <c r="BS178" s="167">
        <v>9.4849999999999994</v>
      </c>
      <c r="BT178" s="154"/>
      <c r="BU178" s="155"/>
      <c r="BV178" s="155"/>
      <c r="BW178" s="155"/>
      <c r="BX178" s="159">
        <v>1</v>
      </c>
      <c r="BY178" s="155">
        <v>2.58</v>
      </c>
      <c r="BZ178" s="155">
        <v>46</v>
      </c>
      <c r="CA178" s="167">
        <v>9.0980000000000008</v>
      </c>
    </row>
    <row r="179" spans="1:79">
      <c r="A179" s="132"/>
      <c r="B179" s="173" t="s">
        <v>232</v>
      </c>
      <c r="C179" s="134"/>
      <c r="D179" s="135"/>
      <c r="E179" s="136"/>
      <c r="F179" s="137"/>
      <c r="G179" s="137"/>
      <c r="H179" s="137"/>
      <c r="I179" s="137"/>
      <c r="J179" s="137"/>
      <c r="K179" s="138"/>
      <c r="L179" s="139"/>
      <c r="M179" s="140"/>
      <c r="N179" s="154">
        <f>0.009+0.104+0.0007</f>
        <v>0.1137</v>
      </c>
      <c r="O179" s="155">
        <f>18.6135+6.166+0.79</f>
        <v>25.569499999999998</v>
      </c>
      <c r="P179" s="155"/>
      <c r="Q179" s="155"/>
      <c r="R179" s="162">
        <v>3</v>
      </c>
      <c r="S179" s="163">
        <v>0.13811000000000001</v>
      </c>
      <c r="T179" s="163"/>
      <c r="U179" s="163"/>
      <c r="V179" s="163"/>
      <c r="W179" s="161"/>
      <c r="X179" s="162"/>
      <c r="Y179" s="161"/>
      <c r="Z179" s="162">
        <v>0.153</v>
      </c>
      <c r="AA179" s="164">
        <f t="shared" si="14"/>
        <v>297.99144651999995</v>
      </c>
      <c r="AB179" s="161">
        <v>298.12503651999998</v>
      </c>
      <c r="AC179" s="162">
        <v>3.0000000000000001E-3</v>
      </c>
      <c r="AD179" s="161">
        <v>0.918294096</v>
      </c>
      <c r="AE179" s="162"/>
      <c r="AF179" s="161"/>
      <c r="AG179" s="162">
        <v>2.5000000000000001E-2</v>
      </c>
      <c r="AH179" s="161">
        <v>76.736611600000003</v>
      </c>
      <c r="AI179" s="162">
        <v>5</v>
      </c>
      <c r="AJ179" s="163">
        <v>3.960933335</v>
      </c>
      <c r="AK179" s="162"/>
      <c r="AL179" s="161"/>
      <c r="AM179" s="162">
        <v>1</v>
      </c>
      <c r="AN179" s="161">
        <v>3.6343999999999999</v>
      </c>
      <c r="AO179" s="162"/>
      <c r="AP179" s="161"/>
      <c r="AQ179" s="165">
        <v>12</v>
      </c>
      <c r="AR179" s="166">
        <v>155.827</v>
      </c>
      <c r="AS179" s="162">
        <v>1.4E-3</v>
      </c>
      <c r="AT179" s="161">
        <v>1.75861</v>
      </c>
      <c r="AU179" s="162"/>
      <c r="AV179" s="167"/>
      <c r="AW179" s="168"/>
      <c r="AX179" s="168"/>
      <c r="AY179" s="168"/>
      <c r="AZ179" s="162"/>
      <c r="BA179" s="161"/>
      <c r="BB179" s="169"/>
      <c r="BC179" s="170">
        <v>6.7127808798000004</v>
      </c>
      <c r="BD179" s="153">
        <f t="shared" si="12"/>
        <v>635.00196184009997</v>
      </c>
      <c r="BE179" s="154">
        <f t="shared" si="10"/>
        <v>33.138685409300003</v>
      </c>
      <c r="BF179" s="155">
        <f t="shared" si="11"/>
        <v>18.884999999999998</v>
      </c>
      <c r="BG179" s="149">
        <f t="shared" si="13"/>
        <v>9.5969999999999995</v>
      </c>
      <c r="BH179" s="154"/>
      <c r="BI179" s="155"/>
      <c r="BJ179" s="155">
        <v>1.2500000000000001E-2</v>
      </c>
      <c r="BK179" s="155">
        <v>14.347922625000002</v>
      </c>
      <c r="BL179" s="155">
        <v>1.15E-2</v>
      </c>
      <c r="BM179" s="155">
        <v>9.9887627842999986</v>
      </c>
      <c r="BN179" s="155"/>
      <c r="BO179" s="155"/>
      <c r="BP179" s="171"/>
      <c r="BQ179" s="155"/>
      <c r="BR179" s="155">
        <v>7</v>
      </c>
      <c r="BS179" s="167">
        <v>8.8019999999999996</v>
      </c>
      <c r="BT179" s="154">
        <v>0.02</v>
      </c>
      <c r="BU179" s="155">
        <v>5.1459999999999999</v>
      </c>
      <c r="BV179" s="155">
        <v>5</v>
      </c>
      <c r="BW179" s="155">
        <v>1.8109999999999999</v>
      </c>
      <c r="BX179" s="159">
        <v>1</v>
      </c>
      <c r="BY179" s="155">
        <v>2.331</v>
      </c>
      <c r="BZ179" s="155">
        <v>38</v>
      </c>
      <c r="CA179" s="167">
        <v>9.5969999999999995</v>
      </c>
    </row>
    <row r="180" spans="1:79">
      <c r="A180" s="132"/>
      <c r="B180" s="173" t="s">
        <v>233</v>
      </c>
      <c r="C180" s="134"/>
      <c r="D180" s="135"/>
      <c r="E180" s="136"/>
      <c r="F180" s="137"/>
      <c r="G180" s="137"/>
      <c r="H180" s="137"/>
      <c r="I180" s="137"/>
      <c r="J180" s="137"/>
      <c r="K180" s="138"/>
      <c r="L180" s="139"/>
      <c r="M180" s="140"/>
      <c r="N180" s="154">
        <v>0.02</v>
      </c>
      <c r="O180" s="155">
        <v>10.3645</v>
      </c>
      <c r="P180" s="155"/>
      <c r="Q180" s="155"/>
      <c r="R180" s="162"/>
      <c r="S180" s="163"/>
      <c r="T180" s="163"/>
      <c r="U180" s="163"/>
      <c r="V180" s="163"/>
      <c r="W180" s="161"/>
      <c r="X180" s="162"/>
      <c r="Y180" s="161"/>
      <c r="Z180" s="162">
        <v>0.01</v>
      </c>
      <c r="AA180" s="164">
        <f t="shared" si="14"/>
        <v>1.0931763000000001</v>
      </c>
      <c r="AB180" s="161">
        <v>1.2267663</v>
      </c>
      <c r="AC180" s="162">
        <v>2.3999999999999998E-3</v>
      </c>
      <c r="AD180" s="161">
        <v>0.14208666667199998</v>
      </c>
      <c r="AE180" s="162"/>
      <c r="AF180" s="161"/>
      <c r="AG180" s="162"/>
      <c r="AH180" s="161"/>
      <c r="AI180" s="162"/>
      <c r="AJ180" s="163"/>
      <c r="AK180" s="162"/>
      <c r="AL180" s="161"/>
      <c r="AM180" s="162"/>
      <c r="AN180" s="161"/>
      <c r="AO180" s="162"/>
      <c r="AP180" s="161"/>
      <c r="AQ180" s="165">
        <v>11</v>
      </c>
      <c r="AR180" s="166">
        <v>11.657340329384615</v>
      </c>
      <c r="AS180" s="162"/>
      <c r="AT180" s="161"/>
      <c r="AU180" s="162"/>
      <c r="AV180" s="167"/>
      <c r="AW180" s="168"/>
      <c r="AX180" s="168"/>
      <c r="AY180" s="168"/>
      <c r="AZ180" s="162"/>
      <c r="BA180" s="161"/>
      <c r="BB180" s="169"/>
      <c r="BC180" s="170">
        <v>10.237860802</v>
      </c>
      <c r="BD180" s="153">
        <f t="shared" si="12"/>
        <v>86.919486672056607</v>
      </c>
      <c r="BE180" s="154">
        <f t="shared" si="10"/>
        <v>20.878932573999997</v>
      </c>
      <c r="BF180" s="155">
        <f t="shared" si="11"/>
        <v>20.709</v>
      </c>
      <c r="BG180" s="149">
        <f t="shared" si="13"/>
        <v>11.702999999999999</v>
      </c>
      <c r="BH180" s="154"/>
      <c r="BI180" s="155"/>
      <c r="BJ180" s="155">
        <v>2E-3</v>
      </c>
      <c r="BK180" s="155">
        <v>1.9179325739999999</v>
      </c>
      <c r="BL180" s="155"/>
      <c r="BM180" s="155"/>
      <c r="BN180" s="155"/>
      <c r="BO180" s="155"/>
      <c r="BP180" s="171"/>
      <c r="BQ180" s="155"/>
      <c r="BR180" s="155">
        <v>19</v>
      </c>
      <c r="BS180" s="167">
        <v>18.960999999999999</v>
      </c>
      <c r="BT180" s="154">
        <v>3.5000000000000003E-2</v>
      </c>
      <c r="BU180" s="155">
        <v>9.0060000000000002</v>
      </c>
      <c r="BV180" s="155"/>
      <c r="BW180" s="155"/>
      <c r="BX180" s="159"/>
      <c r="BY180" s="155"/>
      <c r="BZ180" s="155">
        <v>91</v>
      </c>
      <c r="CA180" s="167">
        <v>11.702999999999999</v>
      </c>
    </row>
    <row r="181" spans="1:79">
      <c r="A181" s="132"/>
      <c r="B181" s="173" t="s">
        <v>234</v>
      </c>
      <c r="C181" s="134"/>
      <c r="D181" s="135"/>
      <c r="E181" s="136"/>
      <c r="F181" s="137"/>
      <c r="G181" s="137"/>
      <c r="H181" s="137"/>
      <c r="I181" s="137"/>
      <c r="J181" s="137"/>
      <c r="K181" s="138"/>
      <c r="L181" s="139"/>
      <c r="M181" s="140"/>
      <c r="N181" s="154"/>
      <c r="O181" s="155"/>
      <c r="P181" s="155"/>
      <c r="Q181" s="155"/>
      <c r="R181" s="162"/>
      <c r="S181" s="163"/>
      <c r="T181" s="163">
        <v>14</v>
      </c>
      <c r="U181" s="163">
        <v>0.66054500000000005</v>
      </c>
      <c r="V181" s="163"/>
      <c r="W181" s="161"/>
      <c r="X181" s="162"/>
      <c r="Y181" s="161"/>
      <c r="Z181" s="162"/>
      <c r="AA181" s="164"/>
      <c r="AB181" s="161"/>
      <c r="AC181" s="162"/>
      <c r="AD181" s="161"/>
      <c r="AE181" s="162"/>
      <c r="AF181" s="161"/>
      <c r="AG181" s="162"/>
      <c r="AH181" s="161"/>
      <c r="AI181" s="162">
        <v>2</v>
      </c>
      <c r="AJ181" s="163">
        <v>1.5843733339999999</v>
      </c>
      <c r="AK181" s="162"/>
      <c r="AL181" s="161"/>
      <c r="AM181" s="162"/>
      <c r="AN181" s="161"/>
      <c r="AO181" s="162"/>
      <c r="AP181" s="161"/>
      <c r="AQ181" s="165">
        <v>3</v>
      </c>
      <c r="AR181" s="166">
        <v>0.38539159200000006</v>
      </c>
      <c r="AS181" s="162">
        <v>4.4999999999999998E-2</v>
      </c>
      <c r="AT181" s="161">
        <v>88.037514450000003</v>
      </c>
      <c r="AU181" s="162"/>
      <c r="AV181" s="167"/>
      <c r="AW181" s="168"/>
      <c r="AX181" s="168"/>
      <c r="AY181" s="168"/>
      <c r="AZ181" s="162"/>
      <c r="BA181" s="161"/>
      <c r="BB181" s="169"/>
      <c r="BC181" s="170"/>
      <c r="BD181" s="153">
        <f t="shared" si="12"/>
        <v>131.6281918944</v>
      </c>
      <c r="BE181" s="154">
        <f t="shared" si="10"/>
        <v>17.757367518400002</v>
      </c>
      <c r="BF181" s="155">
        <f t="shared" si="11"/>
        <v>13.991</v>
      </c>
      <c r="BG181" s="149">
        <f t="shared" si="13"/>
        <v>9.2119999999999997</v>
      </c>
      <c r="BH181" s="154"/>
      <c r="BI181" s="155"/>
      <c r="BJ181" s="155"/>
      <c r="BK181" s="155"/>
      <c r="BL181" s="155">
        <v>1.2E-2</v>
      </c>
      <c r="BM181" s="155">
        <v>11.9723675184</v>
      </c>
      <c r="BN181" s="155"/>
      <c r="BO181" s="155"/>
      <c r="BP181" s="171"/>
      <c r="BQ181" s="155"/>
      <c r="BR181" s="155">
        <v>6</v>
      </c>
      <c r="BS181" s="167">
        <v>5.7850000000000001</v>
      </c>
      <c r="BT181" s="154">
        <v>0.03</v>
      </c>
      <c r="BU181" s="155">
        <v>3.044</v>
      </c>
      <c r="BV181" s="155"/>
      <c r="BW181" s="155"/>
      <c r="BX181" s="159">
        <v>1</v>
      </c>
      <c r="BY181" s="155">
        <v>1.7350000000000001</v>
      </c>
      <c r="BZ181" s="155">
        <v>60</v>
      </c>
      <c r="CA181" s="167">
        <v>9.2119999999999997</v>
      </c>
    </row>
    <row r="182" spans="1:79">
      <c r="A182" s="132"/>
      <c r="B182" s="173" t="s">
        <v>235</v>
      </c>
      <c r="C182" s="134"/>
      <c r="D182" s="135"/>
      <c r="E182" s="136"/>
      <c r="F182" s="137"/>
      <c r="G182" s="137"/>
      <c r="H182" s="137"/>
      <c r="I182" s="137"/>
      <c r="J182" s="137"/>
      <c r="K182" s="138"/>
      <c r="L182" s="139"/>
      <c r="M182" s="140"/>
      <c r="N182" s="154">
        <v>7.0000000000000001E-3</v>
      </c>
      <c r="O182" s="155">
        <v>3.6275499999999998</v>
      </c>
      <c r="P182" s="155"/>
      <c r="Q182" s="155"/>
      <c r="R182" s="162">
        <v>3</v>
      </c>
      <c r="S182" s="163">
        <v>0.36899999999999999</v>
      </c>
      <c r="T182" s="163">
        <v>6</v>
      </c>
      <c r="U182" s="163">
        <v>0.81194500000000003</v>
      </c>
      <c r="V182" s="163"/>
      <c r="W182" s="161"/>
      <c r="X182" s="162"/>
      <c r="Y182" s="161"/>
      <c r="Z182" s="162">
        <v>1E-3</v>
      </c>
      <c r="AA182" s="164"/>
      <c r="AB182" s="161">
        <v>0.12267663000000001</v>
      </c>
      <c r="AC182" s="162"/>
      <c r="AD182" s="161"/>
      <c r="AE182" s="162"/>
      <c r="AF182" s="161"/>
      <c r="AG182" s="162"/>
      <c r="AH182" s="161"/>
      <c r="AI182" s="162">
        <v>3</v>
      </c>
      <c r="AJ182" s="163">
        <v>2.3765600009999996</v>
      </c>
      <c r="AK182" s="162"/>
      <c r="AL182" s="161"/>
      <c r="AM182" s="162"/>
      <c r="AN182" s="161"/>
      <c r="AO182" s="162">
        <v>1</v>
      </c>
      <c r="AP182" s="161">
        <v>6.2869200000000003</v>
      </c>
      <c r="AQ182" s="165">
        <v>3</v>
      </c>
      <c r="AR182" s="166">
        <v>0.38539159200000006</v>
      </c>
      <c r="AS182" s="162">
        <v>6.9000000000000006E-2</v>
      </c>
      <c r="AT182" s="161">
        <v>137.91043928400001</v>
      </c>
      <c r="AU182" s="162"/>
      <c r="AV182" s="167"/>
      <c r="AW182" s="168"/>
      <c r="AX182" s="168"/>
      <c r="AY182" s="168"/>
      <c r="AZ182" s="162"/>
      <c r="BA182" s="161"/>
      <c r="BB182" s="169"/>
      <c r="BC182" s="170">
        <v>7.7868228619999993</v>
      </c>
      <c r="BD182" s="153">
        <f t="shared" si="12"/>
        <v>208.63009454180002</v>
      </c>
      <c r="BE182" s="154">
        <f t="shared" si="10"/>
        <v>24.927789172800001</v>
      </c>
      <c r="BF182" s="155">
        <f t="shared" si="11"/>
        <v>15.132000000000001</v>
      </c>
      <c r="BG182" s="149">
        <f t="shared" si="13"/>
        <v>8.8930000000000007</v>
      </c>
      <c r="BH182" s="154"/>
      <c r="BI182" s="155"/>
      <c r="BJ182" s="155"/>
      <c r="BK182" s="155"/>
      <c r="BL182" s="155">
        <v>4.0000000000000001E-3</v>
      </c>
      <c r="BM182" s="155">
        <v>3.9907891728</v>
      </c>
      <c r="BN182" s="155"/>
      <c r="BO182" s="155"/>
      <c r="BP182" s="171"/>
      <c r="BQ182" s="155"/>
      <c r="BR182" s="155">
        <v>23</v>
      </c>
      <c r="BS182" s="167">
        <v>20.937000000000001</v>
      </c>
      <c r="BT182" s="154">
        <v>1.4999999999999999E-2</v>
      </c>
      <c r="BU182" s="155">
        <v>5.6109999999999998</v>
      </c>
      <c r="BV182" s="155">
        <v>3</v>
      </c>
      <c r="BW182" s="155">
        <v>0.628</v>
      </c>
      <c r="BX182" s="159"/>
      <c r="BY182" s="155"/>
      <c r="BZ182" s="155">
        <v>69</v>
      </c>
      <c r="CA182" s="167">
        <v>8.8930000000000007</v>
      </c>
    </row>
    <row r="183" spans="1:79">
      <c r="A183" s="132"/>
      <c r="B183" s="173" t="s">
        <v>236</v>
      </c>
      <c r="C183" s="134"/>
      <c r="D183" s="135"/>
      <c r="E183" s="136"/>
      <c r="F183" s="137"/>
      <c r="G183" s="137"/>
      <c r="H183" s="137"/>
      <c r="I183" s="137"/>
      <c r="J183" s="137"/>
      <c r="K183" s="138"/>
      <c r="L183" s="139"/>
      <c r="M183" s="140"/>
      <c r="N183" s="154"/>
      <c r="O183" s="155"/>
      <c r="P183" s="155">
        <v>8.0000000000000002E-3</v>
      </c>
      <c r="Q183" s="155">
        <v>0.7241033280000001</v>
      </c>
      <c r="R183" s="162"/>
      <c r="S183" s="163"/>
      <c r="T183" s="163"/>
      <c r="U183" s="163"/>
      <c r="V183" s="163"/>
      <c r="W183" s="161"/>
      <c r="X183" s="162">
        <f>0.054+0.048</f>
        <v>0.10200000000000001</v>
      </c>
      <c r="Y183" s="161">
        <f>17.2851573888+10.8</f>
        <v>28.085157388799999</v>
      </c>
      <c r="Z183" s="162">
        <v>0.15100000000000002</v>
      </c>
      <c r="AA183" s="164">
        <f t="shared" si="14"/>
        <v>4.5654836864000004</v>
      </c>
      <c r="AB183" s="161">
        <v>4.6990736864000002</v>
      </c>
      <c r="AC183" s="162">
        <v>0.32</v>
      </c>
      <c r="AD183" s="161">
        <v>436.95400000000001</v>
      </c>
      <c r="AE183" s="162"/>
      <c r="AF183" s="161"/>
      <c r="AG183" s="162"/>
      <c r="AH183" s="161"/>
      <c r="AI183" s="162"/>
      <c r="AJ183" s="163"/>
      <c r="AK183" s="162"/>
      <c r="AL183" s="161"/>
      <c r="AM183" s="162"/>
      <c r="AN183" s="161"/>
      <c r="AO183" s="162"/>
      <c r="AP183" s="161"/>
      <c r="AQ183" s="165">
        <v>13</v>
      </c>
      <c r="AR183" s="166">
        <v>10.5745758</v>
      </c>
      <c r="AS183" s="162"/>
      <c r="AT183" s="161"/>
      <c r="AU183" s="162"/>
      <c r="AV183" s="167"/>
      <c r="AW183" s="168"/>
      <c r="AX183" s="168"/>
      <c r="AY183" s="168"/>
      <c r="AZ183" s="162"/>
      <c r="BA183" s="161"/>
      <c r="BB183" s="169"/>
      <c r="BC183" s="170">
        <v>14.308999999999999</v>
      </c>
      <c r="BD183" s="153">
        <f t="shared" si="12"/>
        <v>545.29077355160007</v>
      </c>
      <c r="BE183" s="154">
        <f t="shared" si="10"/>
        <v>21.3818633484</v>
      </c>
      <c r="BF183" s="155">
        <f t="shared" si="11"/>
        <v>20.452000000000002</v>
      </c>
      <c r="BG183" s="149">
        <f t="shared" si="13"/>
        <v>8.1110000000000007</v>
      </c>
      <c r="BH183" s="154"/>
      <c r="BI183" s="155"/>
      <c r="BJ183" s="155"/>
      <c r="BK183" s="155"/>
      <c r="BL183" s="155">
        <v>1.5E-3</v>
      </c>
      <c r="BM183" s="155">
        <v>0.87386334840000002</v>
      </c>
      <c r="BN183" s="155">
        <v>3.0000000000000001E-3</v>
      </c>
      <c r="BO183" s="155">
        <v>2.9279999999999999</v>
      </c>
      <c r="BP183" s="171"/>
      <c r="BQ183" s="155"/>
      <c r="BR183" s="155">
        <v>21</v>
      </c>
      <c r="BS183" s="167">
        <v>17.579999999999998</v>
      </c>
      <c r="BT183" s="154">
        <v>0.06</v>
      </c>
      <c r="BU183" s="155">
        <v>4.7779999999999996</v>
      </c>
      <c r="BV183" s="155">
        <v>2</v>
      </c>
      <c r="BW183" s="155">
        <v>0.29599999999999999</v>
      </c>
      <c r="BX183" s="159">
        <v>4</v>
      </c>
      <c r="BY183" s="155">
        <v>7.2670000000000003</v>
      </c>
      <c r="BZ183" s="155">
        <v>61</v>
      </c>
      <c r="CA183" s="167">
        <v>8.1110000000000007</v>
      </c>
    </row>
    <row r="184" spans="1:79">
      <c r="A184" s="132"/>
      <c r="B184" s="173" t="s">
        <v>237</v>
      </c>
      <c r="C184" s="134"/>
      <c r="D184" s="135"/>
      <c r="E184" s="136"/>
      <c r="F184" s="137"/>
      <c r="G184" s="137"/>
      <c r="H184" s="137"/>
      <c r="I184" s="137"/>
      <c r="J184" s="137"/>
      <c r="K184" s="138"/>
      <c r="L184" s="139"/>
      <c r="M184" s="140"/>
      <c r="N184" s="154"/>
      <c r="O184" s="155"/>
      <c r="P184" s="155">
        <v>3.1E-2</v>
      </c>
      <c r="Q184" s="155">
        <v>15.531773682000001</v>
      </c>
      <c r="R184" s="162"/>
      <c r="S184" s="163"/>
      <c r="T184" s="163"/>
      <c r="U184" s="163"/>
      <c r="V184" s="163"/>
      <c r="W184" s="161"/>
      <c r="X184" s="162"/>
      <c r="Y184" s="161"/>
      <c r="Z184" s="162">
        <f>X184+X185+X186</f>
        <v>2.1000000000000001E-2</v>
      </c>
      <c r="AA184" s="164">
        <f t="shared" si="14"/>
        <v>6.0944099999999999</v>
      </c>
      <c r="AB184" s="161">
        <v>6.2279999999999998</v>
      </c>
      <c r="AC184" s="162"/>
      <c r="AD184" s="161"/>
      <c r="AE184" s="162"/>
      <c r="AF184" s="161"/>
      <c r="AG184" s="162">
        <v>4.0000000000000002E-4</v>
      </c>
      <c r="AH184" s="161">
        <v>0.43584044</v>
      </c>
      <c r="AI184" s="162"/>
      <c r="AJ184" s="163"/>
      <c r="AK184" s="162"/>
      <c r="AL184" s="161"/>
      <c r="AM184" s="162">
        <v>3</v>
      </c>
      <c r="AN184" s="161">
        <v>11.416799999999999</v>
      </c>
      <c r="AO184" s="162"/>
      <c r="AP184" s="161"/>
      <c r="AQ184" s="165">
        <v>17</v>
      </c>
      <c r="AR184" s="166">
        <v>7.0983757599999997</v>
      </c>
      <c r="AS184" s="162"/>
      <c r="AT184" s="161"/>
      <c r="AU184" s="162"/>
      <c r="AV184" s="167"/>
      <c r="AW184" s="168"/>
      <c r="AX184" s="168"/>
      <c r="AY184" s="168"/>
      <c r="AZ184" s="162">
        <v>2</v>
      </c>
      <c r="BA184" s="161">
        <v>11.561999999999999</v>
      </c>
      <c r="BB184" s="169"/>
      <c r="BC184" s="170">
        <v>15.416</v>
      </c>
      <c r="BD184" s="153">
        <f t="shared" si="12"/>
        <v>183.56124573349999</v>
      </c>
      <c r="BE184" s="154">
        <f t="shared" si="10"/>
        <v>56.880455851499995</v>
      </c>
      <c r="BF184" s="155">
        <f t="shared" si="11"/>
        <v>46.28</v>
      </c>
      <c r="BG184" s="149">
        <f t="shared" si="13"/>
        <v>12.712</v>
      </c>
      <c r="BH184" s="154"/>
      <c r="BI184" s="155"/>
      <c r="BJ184" s="155">
        <v>1.2E-2</v>
      </c>
      <c r="BK184" s="155">
        <v>10.1184874305</v>
      </c>
      <c r="BL184" s="155">
        <v>2E-3</v>
      </c>
      <c r="BM184" s="155">
        <v>1.6739684210000001</v>
      </c>
      <c r="BN184" s="155">
        <v>3.0000000000000001E-3</v>
      </c>
      <c r="BO184" s="155">
        <v>2.9279999999999999</v>
      </c>
      <c r="BP184" s="171"/>
      <c r="BQ184" s="155"/>
      <c r="BR184" s="155">
        <v>41</v>
      </c>
      <c r="BS184" s="167">
        <v>42.16</v>
      </c>
      <c r="BT184" s="154">
        <v>0.09</v>
      </c>
      <c r="BU184" s="155">
        <v>9.1319999999999997</v>
      </c>
      <c r="BV184" s="155">
        <v>3</v>
      </c>
      <c r="BW184" s="155">
        <v>0.502</v>
      </c>
      <c r="BX184" s="159">
        <v>9</v>
      </c>
      <c r="BY184" s="155">
        <v>23.934000000000001</v>
      </c>
      <c r="BZ184" s="155">
        <v>80</v>
      </c>
      <c r="CA184" s="167">
        <v>12.712</v>
      </c>
    </row>
    <row r="185" spans="1:79">
      <c r="A185" s="132"/>
      <c r="B185" s="173" t="s">
        <v>238</v>
      </c>
      <c r="C185" s="134"/>
      <c r="D185" s="135"/>
      <c r="E185" s="136"/>
      <c r="F185" s="137"/>
      <c r="G185" s="137"/>
      <c r="H185" s="137"/>
      <c r="I185" s="137"/>
      <c r="J185" s="137"/>
      <c r="K185" s="138"/>
      <c r="L185" s="139"/>
      <c r="M185" s="140"/>
      <c r="N185" s="154"/>
      <c r="O185" s="155"/>
      <c r="P185" s="155"/>
      <c r="Q185" s="155"/>
      <c r="R185" s="162"/>
      <c r="S185" s="163"/>
      <c r="T185" s="163"/>
      <c r="U185" s="163"/>
      <c r="V185" s="163"/>
      <c r="W185" s="161"/>
      <c r="X185" s="162"/>
      <c r="Y185" s="161"/>
      <c r="Z185" s="162">
        <v>0.1656</v>
      </c>
      <c r="AA185" s="164">
        <f t="shared" si="14"/>
        <v>16.061449205119999</v>
      </c>
      <c r="AB185" s="161">
        <v>16.195039205120001</v>
      </c>
      <c r="AC185" s="162">
        <f>0.143+0.143</f>
        <v>0.28599999999999998</v>
      </c>
      <c r="AD185" s="161">
        <f>212.385+166.07</f>
        <v>378.45499999999998</v>
      </c>
      <c r="AE185" s="162"/>
      <c r="AF185" s="161"/>
      <c r="AG185" s="162"/>
      <c r="AH185" s="161"/>
      <c r="AI185" s="162"/>
      <c r="AJ185" s="163"/>
      <c r="AK185" s="162"/>
      <c r="AL185" s="161"/>
      <c r="AM185" s="162">
        <v>2</v>
      </c>
      <c r="AN185" s="161">
        <v>4.1479999999999997</v>
      </c>
      <c r="AO185" s="162"/>
      <c r="AP185" s="161"/>
      <c r="AQ185" s="165">
        <v>21</v>
      </c>
      <c r="AR185" s="166">
        <v>22.388148660769232</v>
      </c>
      <c r="AS185" s="162"/>
      <c r="AT185" s="161"/>
      <c r="AU185" s="162"/>
      <c r="AV185" s="167"/>
      <c r="AW185" s="168"/>
      <c r="AX185" s="168"/>
      <c r="AY185" s="168"/>
      <c r="AZ185" s="162"/>
      <c r="BA185" s="161"/>
      <c r="BB185" s="169"/>
      <c r="BC185" s="170">
        <v>7.3208980960000005</v>
      </c>
      <c r="BD185" s="153">
        <f t="shared" si="12"/>
        <v>470.02008596188921</v>
      </c>
      <c r="BE185" s="154">
        <f t="shared" si="10"/>
        <v>27.928000000000001</v>
      </c>
      <c r="BF185" s="155">
        <f t="shared" si="11"/>
        <v>7.7700000000000005</v>
      </c>
      <c r="BG185" s="149">
        <f t="shared" si="13"/>
        <v>5.8150000000000004</v>
      </c>
      <c r="BH185" s="154"/>
      <c r="BI185" s="155"/>
      <c r="BJ185" s="155"/>
      <c r="BK185" s="155"/>
      <c r="BL185" s="155"/>
      <c r="BM185" s="155"/>
      <c r="BN185" s="155">
        <v>3.0000000000000001E-3</v>
      </c>
      <c r="BO185" s="155">
        <v>2.9279999999999999</v>
      </c>
      <c r="BP185" s="171"/>
      <c r="BQ185" s="155"/>
      <c r="BR185" s="155">
        <v>26</v>
      </c>
      <c r="BS185" s="167">
        <v>25</v>
      </c>
      <c r="BT185" s="154"/>
      <c r="BU185" s="155"/>
      <c r="BV185" s="155">
        <v>3</v>
      </c>
      <c r="BW185" s="155">
        <v>0.58399999999999996</v>
      </c>
      <c r="BX185" s="159">
        <v>1</v>
      </c>
      <c r="BY185" s="155">
        <v>1.371</v>
      </c>
      <c r="BZ185" s="155">
        <v>46</v>
      </c>
      <c r="CA185" s="167">
        <v>5.8150000000000004</v>
      </c>
    </row>
    <row r="186" spans="1:79">
      <c r="A186" s="132"/>
      <c r="B186" s="173" t="s">
        <v>239</v>
      </c>
      <c r="C186" s="134"/>
      <c r="D186" s="135"/>
      <c r="E186" s="136"/>
      <c r="F186" s="137"/>
      <c r="G186" s="137"/>
      <c r="H186" s="137"/>
      <c r="I186" s="137"/>
      <c r="J186" s="137"/>
      <c r="K186" s="138"/>
      <c r="L186" s="139"/>
      <c r="M186" s="140"/>
      <c r="N186" s="154"/>
      <c r="O186" s="155"/>
      <c r="P186" s="155">
        <v>3.0000000000000001E-3</v>
      </c>
      <c r="Q186" s="155">
        <v>12.395025832</v>
      </c>
      <c r="R186" s="162"/>
      <c r="S186" s="163"/>
      <c r="T186" s="163"/>
      <c r="U186" s="163"/>
      <c r="V186" s="163"/>
      <c r="W186" s="161"/>
      <c r="X186" s="162">
        <v>2.1000000000000001E-2</v>
      </c>
      <c r="Y186" s="161">
        <v>9.6359578980000009</v>
      </c>
      <c r="Z186" s="162">
        <v>3.4200000000000001E-2</v>
      </c>
      <c r="AA186" s="164">
        <f t="shared" si="14"/>
        <v>3.8201648989999999</v>
      </c>
      <c r="AB186" s="161">
        <v>3.9537548989999998</v>
      </c>
      <c r="AC186" s="162"/>
      <c r="AD186" s="161"/>
      <c r="AE186" s="162"/>
      <c r="AF186" s="161"/>
      <c r="AG186" s="162">
        <v>2.5000000000000001E-4</v>
      </c>
      <c r="AH186" s="161">
        <v>0.1506470765</v>
      </c>
      <c r="AI186" s="162">
        <v>8</v>
      </c>
      <c r="AJ186" s="163">
        <v>5.0684170320000002</v>
      </c>
      <c r="AK186" s="162"/>
      <c r="AL186" s="161"/>
      <c r="AM186" s="162">
        <v>2</v>
      </c>
      <c r="AN186" s="161">
        <v>2.9676634149999996</v>
      </c>
      <c r="AO186" s="162"/>
      <c r="AP186" s="161"/>
      <c r="AQ186" s="165">
        <v>8</v>
      </c>
      <c r="AR186" s="166">
        <v>11.170271548999999</v>
      </c>
      <c r="AS186" s="162">
        <v>9.1999999999999998E-3</v>
      </c>
      <c r="AT186" s="161">
        <v>23.597701512</v>
      </c>
      <c r="AU186" s="162"/>
      <c r="AV186" s="167"/>
      <c r="AW186" s="168"/>
      <c r="AX186" s="168"/>
      <c r="AY186" s="168"/>
      <c r="AZ186" s="162"/>
      <c r="BA186" s="161"/>
      <c r="BB186" s="169"/>
      <c r="BC186" s="170">
        <v>10.358000000000001</v>
      </c>
      <c r="BD186" s="153">
        <f t="shared" si="12"/>
        <v>201.90183454430004</v>
      </c>
      <c r="BE186" s="154">
        <f t="shared" si="10"/>
        <v>85.065395330800001</v>
      </c>
      <c r="BF186" s="155">
        <f t="shared" si="11"/>
        <v>24.698999999999998</v>
      </c>
      <c r="BG186" s="149">
        <f t="shared" si="13"/>
        <v>12.84</v>
      </c>
      <c r="BH186" s="154"/>
      <c r="BI186" s="155"/>
      <c r="BJ186" s="155">
        <v>1.3000000000000001E-2</v>
      </c>
      <c r="BK186" s="155">
        <v>9.7437929395000005</v>
      </c>
      <c r="BL186" s="155">
        <v>2.9600000000000001E-2</v>
      </c>
      <c r="BM186" s="155">
        <v>24.055602391300003</v>
      </c>
      <c r="BN186" s="155">
        <v>6.0000000000000001E-3</v>
      </c>
      <c r="BO186" s="155">
        <v>3.214</v>
      </c>
      <c r="BP186" s="171"/>
      <c r="BQ186" s="155"/>
      <c r="BR186" s="155">
        <v>41</v>
      </c>
      <c r="BS186" s="167">
        <v>48.052</v>
      </c>
      <c r="BT186" s="154">
        <v>1.7000000000000001E-2</v>
      </c>
      <c r="BU186" s="155">
        <v>4.3739999999999997</v>
      </c>
      <c r="BV186" s="155">
        <v>2</v>
      </c>
      <c r="BW186" s="155">
        <v>0.48</v>
      </c>
      <c r="BX186" s="159">
        <v>3</v>
      </c>
      <c r="BY186" s="155">
        <v>7.0049999999999999</v>
      </c>
      <c r="BZ186" s="155">
        <v>72</v>
      </c>
      <c r="CA186" s="167">
        <v>12.84</v>
      </c>
    </row>
    <row r="187" spans="1:79">
      <c r="A187" s="132"/>
      <c r="B187" s="160" t="s">
        <v>240</v>
      </c>
      <c r="C187" s="134"/>
      <c r="D187" s="135"/>
      <c r="E187" s="136"/>
      <c r="F187" s="137"/>
      <c r="G187" s="137"/>
      <c r="H187" s="137"/>
      <c r="I187" s="137"/>
      <c r="J187" s="137"/>
      <c r="K187" s="138"/>
      <c r="L187" s="139"/>
      <c r="M187" s="140"/>
      <c r="N187" s="154"/>
      <c r="O187" s="155"/>
      <c r="P187" s="155"/>
      <c r="Q187" s="155"/>
      <c r="R187" s="162"/>
      <c r="S187" s="163"/>
      <c r="T187" s="163"/>
      <c r="U187" s="163"/>
      <c r="V187" s="163"/>
      <c r="W187" s="161"/>
      <c r="X187" s="162">
        <v>0.20699999999999999</v>
      </c>
      <c r="Y187" s="161">
        <v>81.179023590900002</v>
      </c>
      <c r="Z187" s="162">
        <v>4.9500000000000002E-2</v>
      </c>
      <c r="AA187" s="164">
        <f t="shared" si="14"/>
        <v>5.6907143459999991</v>
      </c>
      <c r="AB187" s="161">
        <v>5.824304345999999</v>
      </c>
      <c r="AC187" s="162"/>
      <c r="AD187" s="161"/>
      <c r="AE187" s="162"/>
      <c r="AF187" s="161"/>
      <c r="AG187" s="162"/>
      <c r="AH187" s="161"/>
      <c r="AI187" s="162"/>
      <c r="AJ187" s="163"/>
      <c r="AK187" s="162"/>
      <c r="AL187" s="161"/>
      <c r="AM187" s="162">
        <v>1</v>
      </c>
      <c r="AN187" s="161">
        <v>9.3923858159999991</v>
      </c>
      <c r="AO187" s="162"/>
      <c r="AP187" s="161"/>
      <c r="AQ187" s="165">
        <v>46</v>
      </c>
      <c r="AR187" s="166">
        <v>386.03339972999999</v>
      </c>
      <c r="AS187" s="162">
        <v>2.0499999999999997E-2</v>
      </c>
      <c r="AT187" s="161">
        <v>40.147808943000001</v>
      </c>
      <c r="AU187" s="162"/>
      <c r="AV187" s="167"/>
      <c r="AW187" s="168"/>
      <c r="AX187" s="168"/>
      <c r="AY187" s="168"/>
      <c r="AZ187" s="162"/>
      <c r="BA187" s="161"/>
      <c r="BB187" s="169"/>
      <c r="BC187" s="170">
        <v>19.902000000000001</v>
      </c>
      <c r="BD187" s="153">
        <f t="shared" si="12"/>
        <v>613.72332742590015</v>
      </c>
      <c r="BE187" s="154">
        <f t="shared" si="10"/>
        <v>23.094404999999998</v>
      </c>
      <c r="BF187" s="155">
        <f t="shared" si="11"/>
        <v>28.056000000000001</v>
      </c>
      <c r="BG187" s="149">
        <f t="shared" si="13"/>
        <v>20.094000000000001</v>
      </c>
      <c r="BH187" s="154"/>
      <c r="BI187" s="155"/>
      <c r="BJ187" s="155">
        <v>3.0000000000000001E-3</v>
      </c>
      <c r="BK187" s="155">
        <v>3.3994050000000002</v>
      </c>
      <c r="BL187" s="155"/>
      <c r="BM187" s="155"/>
      <c r="BN187" s="155">
        <v>2E-3</v>
      </c>
      <c r="BO187" s="155">
        <v>1.952</v>
      </c>
      <c r="BP187" s="171"/>
      <c r="BQ187" s="155"/>
      <c r="BR187" s="155">
        <v>17</v>
      </c>
      <c r="BS187" s="167">
        <v>17.742999999999999</v>
      </c>
      <c r="BT187" s="154">
        <v>2.1999999999999999E-2</v>
      </c>
      <c r="BU187" s="155">
        <v>5.6609999999999996</v>
      </c>
      <c r="BV187" s="155">
        <v>4</v>
      </c>
      <c r="BW187" s="155">
        <v>0.93</v>
      </c>
      <c r="BX187" s="159">
        <v>1</v>
      </c>
      <c r="BY187" s="155">
        <v>1.371</v>
      </c>
      <c r="BZ187" s="155">
        <v>117</v>
      </c>
      <c r="CA187" s="167">
        <v>20.094000000000001</v>
      </c>
    </row>
    <row r="188" spans="1:79">
      <c r="A188" s="132"/>
      <c r="B188" s="160" t="s">
        <v>241</v>
      </c>
      <c r="C188" s="134"/>
      <c r="D188" s="135"/>
      <c r="E188" s="136"/>
      <c r="F188" s="137"/>
      <c r="G188" s="137"/>
      <c r="H188" s="137"/>
      <c r="I188" s="137"/>
      <c r="J188" s="137"/>
      <c r="K188" s="138"/>
      <c r="L188" s="139"/>
      <c r="M188" s="140"/>
      <c r="N188" s="154"/>
      <c r="O188" s="155"/>
      <c r="P188" s="155"/>
      <c r="Q188" s="155"/>
      <c r="R188" s="162"/>
      <c r="S188" s="163"/>
      <c r="T188" s="163">
        <v>8</v>
      </c>
      <c r="U188" s="163">
        <v>0.37745000000000001</v>
      </c>
      <c r="V188" s="163"/>
      <c r="W188" s="161"/>
      <c r="X188" s="162"/>
      <c r="Y188" s="161"/>
      <c r="Z188" s="162"/>
      <c r="AA188" s="164"/>
      <c r="AB188" s="161"/>
      <c r="AC188" s="162"/>
      <c r="AD188" s="161"/>
      <c r="AE188" s="162"/>
      <c r="AF188" s="161"/>
      <c r="AG188" s="162"/>
      <c r="AH188" s="161"/>
      <c r="AI188" s="162">
        <v>6</v>
      </c>
      <c r="AJ188" s="163">
        <v>4.1693093880000003</v>
      </c>
      <c r="AK188" s="162"/>
      <c r="AL188" s="161"/>
      <c r="AM188" s="162"/>
      <c r="AN188" s="161"/>
      <c r="AO188" s="162"/>
      <c r="AP188" s="161"/>
      <c r="AQ188" s="165"/>
      <c r="AR188" s="166"/>
      <c r="AS188" s="162"/>
      <c r="AT188" s="161"/>
      <c r="AU188" s="162"/>
      <c r="AV188" s="167"/>
      <c r="AW188" s="168"/>
      <c r="AX188" s="168"/>
      <c r="AY188" s="168"/>
      <c r="AZ188" s="162"/>
      <c r="BA188" s="161"/>
      <c r="BB188" s="169"/>
      <c r="BC188" s="170">
        <v>1.6586639999999999</v>
      </c>
      <c r="BD188" s="153">
        <f t="shared" si="12"/>
        <v>60.834393388000002</v>
      </c>
      <c r="BE188" s="154">
        <f t="shared" si="10"/>
        <v>26.541969999999999</v>
      </c>
      <c r="BF188" s="155">
        <f t="shared" si="11"/>
        <v>17.288</v>
      </c>
      <c r="BG188" s="149">
        <f t="shared" si="13"/>
        <v>10.798999999999999</v>
      </c>
      <c r="BH188" s="154"/>
      <c r="BI188" s="155"/>
      <c r="BJ188" s="155">
        <v>0.01</v>
      </c>
      <c r="BK188" s="155">
        <v>8.5009700000000006</v>
      </c>
      <c r="BL188" s="155"/>
      <c r="BM188" s="155"/>
      <c r="BN188" s="155"/>
      <c r="BO188" s="155"/>
      <c r="BP188" s="171"/>
      <c r="BQ188" s="155"/>
      <c r="BR188" s="155">
        <v>11</v>
      </c>
      <c r="BS188" s="167">
        <v>18.041</v>
      </c>
      <c r="BT188" s="154">
        <v>0.03</v>
      </c>
      <c r="BU188" s="155">
        <v>6.4889999999999999</v>
      </c>
      <c r="BV188" s="155"/>
      <c r="BW188" s="155"/>
      <c r="BX188" s="159"/>
      <c r="BY188" s="155"/>
      <c r="BZ188" s="155">
        <v>45</v>
      </c>
      <c r="CA188" s="167">
        <v>10.798999999999999</v>
      </c>
    </row>
    <row r="189" spans="1:79">
      <c r="A189" s="132"/>
      <c r="B189" s="160" t="s">
        <v>242</v>
      </c>
      <c r="C189" s="134"/>
      <c r="D189" s="135"/>
      <c r="E189" s="136"/>
      <c r="F189" s="137"/>
      <c r="G189" s="137"/>
      <c r="H189" s="137"/>
      <c r="I189" s="137"/>
      <c r="J189" s="137"/>
      <c r="K189" s="138"/>
      <c r="L189" s="139"/>
      <c r="M189" s="140"/>
      <c r="N189" s="154"/>
      <c r="O189" s="155"/>
      <c r="P189" s="155"/>
      <c r="Q189" s="155"/>
      <c r="R189" s="162"/>
      <c r="S189" s="163"/>
      <c r="T189" s="163"/>
      <c r="U189" s="163"/>
      <c r="V189" s="163"/>
      <c r="W189" s="161"/>
      <c r="X189" s="162">
        <v>0.78739999999999999</v>
      </c>
      <c r="Y189" s="161">
        <v>197.50274399999998</v>
      </c>
      <c r="Z189" s="162"/>
      <c r="AA189" s="164"/>
      <c r="AB189" s="161"/>
      <c r="AC189" s="162"/>
      <c r="AD189" s="161"/>
      <c r="AE189" s="162"/>
      <c r="AF189" s="161"/>
      <c r="AG189" s="162"/>
      <c r="AH189" s="161"/>
      <c r="AI189" s="162"/>
      <c r="AJ189" s="163"/>
      <c r="AK189" s="162"/>
      <c r="AL189" s="161"/>
      <c r="AM189" s="162"/>
      <c r="AN189" s="161"/>
      <c r="AO189" s="162"/>
      <c r="AP189" s="161"/>
      <c r="AQ189" s="165"/>
      <c r="AR189" s="166"/>
      <c r="AS189" s="162"/>
      <c r="AT189" s="161"/>
      <c r="AU189" s="162"/>
      <c r="AV189" s="167"/>
      <c r="AW189" s="168"/>
      <c r="AX189" s="168"/>
      <c r="AY189" s="168"/>
      <c r="AZ189" s="162"/>
      <c r="BA189" s="161"/>
      <c r="BB189" s="169"/>
      <c r="BC189" s="170">
        <v>2.8849999999999998</v>
      </c>
      <c r="BD189" s="153">
        <f t="shared" si="12"/>
        <v>250.13274399999997</v>
      </c>
      <c r="BE189" s="154">
        <f t="shared" si="10"/>
        <v>3.0579999999999998</v>
      </c>
      <c r="BF189" s="155">
        <f t="shared" si="11"/>
        <v>33.901000000000003</v>
      </c>
      <c r="BG189" s="149">
        <f t="shared" si="13"/>
        <v>12.786</v>
      </c>
      <c r="BH189" s="154"/>
      <c r="BI189" s="155"/>
      <c r="BJ189" s="155"/>
      <c r="BK189" s="155"/>
      <c r="BL189" s="155"/>
      <c r="BM189" s="155"/>
      <c r="BN189" s="155"/>
      <c r="BO189" s="155"/>
      <c r="BP189" s="171"/>
      <c r="BQ189" s="155"/>
      <c r="BR189" s="155">
        <v>5</v>
      </c>
      <c r="BS189" s="167">
        <v>3.0579999999999998</v>
      </c>
      <c r="BT189" s="154">
        <v>4.8000000000000001E-2</v>
      </c>
      <c r="BU189" s="155">
        <v>10.382</v>
      </c>
      <c r="BV189" s="155">
        <v>1</v>
      </c>
      <c r="BW189" s="155">
        <v>0.24399999999999999</v>
      </c>
      <c r="BX189" s="159">
        <v>4</v>
      </c>
      <c r="BY189" s="155">
        <v>10.489000000000001</v>
      </c>
      <c r="BZ189" s="155">
        <v>64</v>
      </c>
      <c r="CA189" s="167">
        <v>12.786</v>
      </c>
    </row>
    <row r="190" spans="1:79">
      <c r="A190" s="132"/>
      <c r="B190" s="160" t="s">
        <v>243</v>
      </c>
      <c r="C190" s="134"/>
      <c r="D190" s="135"/>
      <c r="E190" s="136"/>
      <c r="F190" s="137"/>
      <c r="G190" s="137"/>
      <c r="H190" s="137"/>
      <c r="I190" s="137"/>
      <c r="J190" s="137"/>
      <c r="K190" s="138"/>
      <c r="L190" s="139"/>
      <c r="M190" s="140"/>
      <c r="N190" s="154"/>
      <c r="O190" s="155"/>
      <c r="P190" s="155">
        <v>3.0000000000000001E-3</v>
      </c>
      <c r="Q190" s="155">
        <v>2.1929400000000001</v>
      </c>
      <c r="R190" s="162"/>
      <c r="S190" s="163"/>
      <c r="T190" s="163"/>
      <c r="U190" s="163"/>
      <c r="V190" s="163"/>
      <c r="W190" s="161"/>
      <c r="X190" s="162"/>
      <c r="Y190" s="161"/>
      <c r="Z190" s="162">
        <v>1.18E-2</v>
      </c>
      <c r="AA190" s="164">
        <f t="shared" si="14"/>
        <v>1.50237211</v>
      </c>
      <c r="AB190" s="161">
        <v>1.6359621099999999</v>
      </c>
      <c r="AC190" s="162"/>
      <c r="AD190" s="161"/>
      <c r="AE190" s="162">
        <v>4.5999999999999999E-2</v>
      </c>
      <c r="AF190" s="161">
        <v>26.452190000000002</v>
      </c>
      <c r="AG190" s="162">
        <v>5.9999999999999995E-4</v>
      </c>
      <c r="AH190" s="161">
        <v>0.3625049836</v>
      </c>
      <c r="AI190" s="162"/>
      <c r="AJ190" s="163"/>
      <c r="AK190" s="162"/>
      <c r="AL190" s="161"/>
      <c r="AM190" s="162">
        <v>10</v>
      </c>
      <c r="AN190" s="161">
        <v>20.122663414999998</v>
      </c>
      <c r="AO190" s="162"/>
      <c r="AP190" s="161"/>
      <c r="AQ190" s="165">
        <v>16</v>
      </c>
      <c r="AR190" s="166">
        <v>16.3465177</v>
      </c>
      <c r="AS190" s="162">
        <v>2.3E-3</v>
      </c>
      <c r="AT190" s="161">
        <v>4.6789084000000001</v>
      </c>
      <c r="AU190" s="162"/>
      <c r="AV190" s="167"/>
      <c r="AW190" s="168"/>
      <c r="AX190" s="168"/>
      <c r="AY190" s="168"/>
      <c r="AZ190" s="162"/>
      <c r="BA190" s="161"/>
      <c r="BB190" s="169"/>
      <c r="BC190" s="170">
        <v>7.3475600980000007</v>
      </c>
      <c r="BD190" s="153">
        <f t="shared" si="12"/>
        <v>155.93160123409999</v>
      </c>
      <c r="BE190" s="154">
        <f t="shared" si="10"/>
        <v>41.739354527499998</v>
      </c>
      <c r="BF190" s="155">
        <f t="shared" si="11"/>
        <v>26.963000000000001</v>
      </c>
      <c r="BG190" s="149">
        <f t="shared" si="13"/>
        <v>8.09</v>
      </c>
      <c r="BH190" s="154"/>
      <c r="BI190" s="155"/>
      <c r="BJ190" s="155">
        <v>6.8000000000000005E-3</v>
      </c>
      <c r="BK190" s="155">
        <v>7.7053180000000001</v>
      </c>
      <c r="BL190" s="155">
        <v>6.0000000000000001E-3</v>
      </c>
      <c r="BM190" s="155">
        <v>4.9810365274999997</v>
      </c>
      <c r="BN190" s="155">
        <v>7.0000000000000001E-3</v>
      </c>
      <c r="BO190" s="155">
        <v>3.9129999999999998</v>
      </c>
      <c r="BP190" s="171"/>
      <c r="BQ190" s="155"/>
      <c r="BR190" s="155">
        <v>21</v>
      </c>
      <c r="BS190" s="167">
        <v>25.14</v>
      </c>
      <c r="BT190" s="154">
        <v>8.5000000000000006E-2</v>
      </c>
      <c r="BU190" s="155">
        <v>18.384</v>
      </c>
      <c r="BV190" s="155">
        <v>2</v>
      </c>
      <c r="BW190" s="155">
        <v>0.48899999999999999</v>
      </c>
      <c r="BX190" s="159"/>
      <c r="BY190" s="155"/>
      <c r="BZ190" s="155">
        <v>48</v>
      </c>
      <c r="CA190" s="167">
        <v>8.09</v>
      </c>
    </row>
    <row r="191" spans="1:79">
      <c r="A191" s="132"/>
      <c r="B191" s="160" t="s">
        <v>244</v>
      </c>
      <c r="C191" s="134"/>
      <c r="D191" s="135"/>
      <c r="E191" s="136"/>
      <c r="F191" s="137"/>
      <c r="G191" s="137"/>
      <c r="H191" s="137"/>
      <c r="I191" s="137"/>
      <c r="J191" s="137"/>
      <c r="K191" s="138"/>
      <c r="L191" s="139"/>
      <c r="M191" s="140"/>
      <c r="N191" s="154"/>
      <c r="O191" s="155"/>
      <c r="P191" s="155">
        <v>5.0000000000000001E-3</v>
      </c>
      <c r="Q191" s="155">
        <v>5.8400515999999998</v>
      </c>
      <c r="R191" s="162"/>
      <c r="S191" s="163"/>
      <c r="T191" s="163"/>
      <c r="U191" s="163"/>
      <c r="V191" s="163"/>
      <c r="W191" s="161"/>
      <c r="X191" s="162">
        <v>0.36730000000000002</v>
      </c>
      <c r="Y191" s="161">
        <v>83.980134642599992</v>
      </c>
      <c r="Z191" s="162">
        <v>0.24399999999999999</v>
      </c>
      <c r="AA191" s="164">
        <f t="shared" si="14"/>
        <v>32.81596081675</v>
      </c>
      <c r="AB191" s="161">
        <v>32.949550816749998</v>
      </c>
      <c r="AC191" s="162">
        <v>2.9999999999999997E-4</v>
      </c>
      <c r="AD191" s="161">
        <v>0.16787561936999998</v>
      </c>
      <c r="AE191" s="162"/>
      <c r="AF191" s="161"/>
      <c r="AG191" s="162"/>
      <c r="AH191" s="161"/>
      <c r="AI191" s="162"/>
      <c r="AJ191" s="163"/>
      <c r="AK191" s="162"/>
      <c r="AL191" s="161"/>
      <c r="AM191" s="162">
        <v>3</v>
      </c>
      <c r="AN191" s="161">
        <v>4.2655272999999996</v>
      </c>
      <c r="AO191" s="162"/>
      <c r="AP191" s="161"/>
      <c r="AQ191" s="165">
        <v>18</v>
      </c>
      <c r="AR191" s="166">
        <v>4.6872947820000004</v>
      </c>
      <c r="AS191" s="162">
        <v>2E-3</v>
      </c>
      <c r="AT191" s="161">
        <v>2.1071800000000001</v>
      </c>
      <c r="AU191" s="162"/>
      <c r="AV191" s="167"/>
      <c r="AW191" s="168"/>
      <c r="AX191" s="168"/>
      <c r="AY191" s="168"/>
      <c r="AZ191" s="162"/>
      <c r="BA191" s="161"/>
      <c r="BB191" s="169"/>
      <c r="BC191" s="170">
        <v>6.6449999999999996</v>
      </c>
      <c r="BD191" s="153">
        <f t="shared" si="12"/>
        <v>222.15310414992001</v>
      </c>
      <c r="BE191" s="154">
        <f t="shared" si="10"/>
        <v>42.849489389200002</v>
      </c>
      <c r="BF191" s="155">
        <f t="shared" si="11"/>
        <v>30.693999999999996</v>
      </c>
      <c r="BG191" s="149">
        <f t="shared" si="13"/>
        <v>7.9669999999999996</v>
      </c>
      <c r="BH191" s="154"/>
      <c r="BI191" s="155"/>
      <c r="BJ191" s="155">
        <v>6.0000000000000001E-3</v>
      </c>
      <c r="BK191" s="155">
        <v>4.1971648002000004</v>
      </c>
      <c r="BL191" s="155">
        <v>1.5E-3</v>
      </c>
      <c r="BM191" s="155">
        <v>1.4323245889999998</v>
      </c>
      <c r="BN191" s="155">
        <v>1.2E-2</v>
      </c>
      <c r="BO191" s="155">
        <v>7.7839999999999998</v>
      </c>
      <c r="BP191" s="171"/>
      <c r="BQ191" s="155"/>
      <c r="BR191" s="155">
        <v>23</v>
      </c>
      <c r="BS191" s="167">
        <v>29.436</v>
      </c>
      <c r="BT191" s="154">
        <v>1.7999999999999999E-2</v>
      </c>
      <c r="BU191" s="155">
        <v>4.6319999999999997</v>
      </c>
      <c r="BV191" s="155">
        <v>2</v>
      </c>
      <c r="BW191" s="155">
        <v>0.48</v>
      </c>
      <c r="BX191" s="159">
        <v>5</v>
      </c>
      <c r="BY191" s="155">
        <v>17.614999999999998</v>
      </c>
      <c r="BZ191" s="155">
        <v>42</v>
      </c>
      <c r="CA191" s="167">
        <v>7.9669999999999996</v>
      </c>
    </row>
    <row r="192" spans="1:79">
      <c r="A192" s="132"/>
      <c r="B192" s="160" t="s">
        <v>245</v>
      </c>
      <c r="C192" s="134"/>
      <c r="D192" s="135"/>
      <c r="E192" s="136"/>
      <c r="F192" s="137"/>
      <c r="G192" s="137"/>
      <c r="H192" s="137"/>
      <c r="I192" s="137"/>
      <c r="J192" s="137"/>
      <c r="K192" s="138"/>
      <c r="L192" s="139"/>
      <c r="M192" s="140"/>
      <c r="N192" s="154"/>
      <c r="O192" s="155"/>
      <c r="P192" s="155"/>
      <c r="Q192" s="155"/>
      <c r="R192" s="162"/>
      <c r="S192" s="163"/>
      <c r="T192" s="163"/>
      <c r="U192" s="163"/>
      <c r="V192" s="163"/>
      <c r="W192" s="161"/>
      <c r="X192" s="162"/>
      <c r="Y192" s="161"/>
      <c r="Z192" s="162">
        <f>0.1319+0.185</f>
        <v>0.31689999999999996</v>
      </c>
      <c r="AA192" s="164">
        <f t="shared" si="14"/>
        <v>54.093660961460003</v>
      </c>
      <c r="AB192" s="161">
        <f>15.11225096146+39.115</f>
        <v>54.227250961460001</v>
      </c>
      <c r="AC192" s="162"/>
      <c r="AD192" s="161"/>
      <c r="AE192" s="162"/>
      <c r="AF192" s="161"/>
      <c r="AG192" s="162"/>
      <c r="AH192" s="161"/>
      <c r="AI192" s="162"/>
      <c r="AJ192" s="163"/>
      <c r="AK192" s="162"/>
      <c r="AL192" s="161"/>
      <c r="AM192" s="162">
        <v>2</v>
      </c>
      <c r="AN192" s="161">
        <v>15.369075496000001</v>
      </c>
      <c r="AO192" s="162"/>
      <c r="AP192" s="161"/>
      <c r="AQ192" s="165">
        <v>10</v>
      </c>
      <c r="AR192" s="166">
        <v>6.4517306599999991</v>
      </c>
      <c r="AS192" s="162"/>
      <c r="AT192" s="161"/>
      <c r="AU192" s="162"/>
      <c r="AV192" s="167"/>
      <c r="AW192" s="168"/>
      <c r="AX192" s="168"/>
      <c r="AY192" s="168"/>
      <c r="AZ192" s="162"/>
      <c r="BA192" s="161"/>
      <c r="BB192" s="169"/>
      <c r="BC192" s="170">
        <v>10.457000000000001</v>
      </c>
      <c r="BD192" s="153">
        <f t="shared" si="12"/>
        <v>197.56224010042001</v>
      </c>
      <c r="BE192" s="154">
        <f t="shared" si="10"/>
        <v>79.091182982959992</v>
      </c>
      <c r="BF192" s="155">
        <f t="shared" si="11"/>
        <v>16.71</v>
      </c>
      <c r="BG192" s="149">
        <f t="shared" si="13"/>
        <v>15.256</v>
      </c>
      <c r="BH192" s="154"/>
      <c r="BI192" s="155"/>
      <c r="BJ192" s="155">
        <v>7.7999999999999996E-3</v>
      </c>
      <c r="BK192" s="155">
        <v>7.9074991363000002</v>
      </c>
      <c r="BL192" s="155">
        <v>6.6E-3</v>
      </c>
      <c r="BM192" s="155">
        <v>5.5336838466599998</v>
      </c>
      <c r="BN192" s="155">
        <v>1.6E-2</v>
      </c>
      <c r="BO192" s="155">
        <v>12.211</v>
      </c>
      <c r="BP192" s="171"/>
      <c r="BQ192" s="155"/>
      <c r="BR192" s="155">
        <v>33</v>
      </c>
      <c r="BS192" s="167">
        <v>53.439</v>
      </c>
      <c r="BT192" s="154"/>
      <c r="BU192" s="155"/>
      <c r="BV192" s="155">
        <v>1</v>
      </c>
      <c r="BW192" s="155">
        <v>0.24399999999999999</v>
      </c>
      <c r="BX192" s="159">
        <v>1</v>
      </c>
      <c r="BY192" s="155">
        <v>1.21</v>
      </c>
      <c r="BZ192" s="155">
        <v>70</v>
      </c>
      <c r="CA192" s="167">
        <v>15.256</v>
      </c>
    </row>
    <row r="193" spans="1:79">
      <c r="A193" s="132"/>
      <c r="B193" s="160" t="s">
        <v>246</v>
      </c>
      <c r="C193" s="134"/>
      <c r="D193" s="135"/>
      <c r="E193" s="136"/>
      <c r="F193" s="137"/>
      <c r="G193" s="137"/>
      <c r="H193" s="137"/>
      <c r="I193" s="137"/>
      <c r="J193" s="137"/>
      <c r="K193" s="138"/>
      <c r="L193" s="139"/>
      <c r="M193" s="140"/>
      <c r="N193" s="154"/>
      <c r="O193" s="155"/>
      <c r="P193" s="155"/>
      <c r="Q193" s="155"/>
      <c r="R193" s="162"/>
      <c r="S193" s="163"/>
      <c r="T193" s="163"/>
      <c r="U193" s="163"/>
      <c r="V193" s="163"/>
      <c r="W193" s="161"/>
      <c r="X193" s="162"/>
      <c r="Y193" s="161"/>
      <c r="Z193" s="162">
        <v>2.1000000000000001E-2</v>
      </c>
      <c r="AA193" s="164">
        <f t="shared" si="14"/>
        <v>2.26275745411</v>
      </c>
      <c r="AB193" s="161">
        <v>2.3963474541099998</v>
      </c>
      <c r="AC193" s="162">
        <v>0.56999999999999995</v>
      </c>
      <c r="AD193" s="161">
        <v>818.88599999999997</v>
      </c>
      <c r="AE193" s="162"/>
      <c r="AF193" s="161"/>
      <c r="AG193" s="162"/>
      <c r="AH193" s="161"/>
      <c r="AI193" s="162"/>
      <c r="AJ193" s="163"/>
      <c r="AK193" s="162"/>
      <c r="AL193" s="161"/>
      <c r="AM193" s="162"/>
      <c r="AN193" s="161"/>
      <c r="AO193" s="162"/>
      <c r="AP193" s="161"/>
      <c r="AQ193" s="165">
        <v>22</v>
      </c>
      <c r="AR193" s="166">
        <v>15.832226950500001</v>
      </c>
      <c r="AS193" s="162"/>
      <c r="AT193" s="161"/>
      <c r="AU193" s="162"/>
      <c r="AV193" s="167"/>
      <c r="AW193" s="168"/>
      <c r="AX193" s="168"/>
      <c r="AY193" s="168"/>
      <c r="AZ193" s="162"/>
      <c r="BA193" s="161"/>
      <c r="BB193" s="169"/>
      <c r="BC193" s="170">
        <v>20.262</v>
      </c>
      <c r="BD193" s="153">
        <f t="shared" si="12"/>
        <v>963.07077960160996</v>
      </c>
      <c r="BE193" s="154">
        <f t="shared" si="10"/>
        <v>71.367205197000004</v>
      </c>
      <c r="BF193" s="155">
        <f t="shared" si="11"/>
        <v>28.487000000000002</v>
      </c>
      <c r="BG193" s="149">
        <f t="shared" si="13"/>
        <v>5.84</v>
      </c>
      <c r="BH193" s="154"/>
      <c r="BI193" s="155"/>
      <c r="BJ193" s="155">
        <v>1.2E-2</v>
      </c>
      <c r="BK193" s="155">
        <v>10.960930197</v>
      </c>
      <c r="BL193" s="155"/>
      <c r="BM193" s="155"/>
      <c r="BN193" s="155">
        <v>1E-3</v>
      </c>
      <c r="BO193" s="155">
        <v>0.83399999999999996</v>
      </c>
      <c r="BP193" s="171">
        <v>1</v>
      </c>
      <c r="BQ193" s="155">
        <v>1.361275</v>
      </c>
      <c r="BR193" s="155">
        <v>40</v>
      </c>
      <c r="BS193" s="167">
        <v>58.210999999999999</v>
      </c>
      <c r="BT193" s="154">
        <v>0.01</v>
      </c>
      <c r="BU193" s="155">
        <v>0.85299999999999998</v>
      </c>
      <c r="BV193" s="155"/>
      <c r="BW193" s="155"/>
      <c r="BX193" s="159">
        <v>12</v>
      </c>
      <c r="BY193" s="155">
        <v>21.794</v>
      </c>
      <c r="BZ193" s="155">
        <v>43</v>
      </c>
      <c r="CA193" s="167">
        <v>5.84</v>
      </c>
    </row>
    <row r="194" spans="1:79">
      <c r="A194" s="132"/>
      <c r="B194" s="160" t="s">
        <v>247</v>
      </c>
      <c r="C194" s="134"/>
      <c r="D194" s="135"/>
      <c r="E194" s="136"/>
      <c r="F194" s="137"/>
      <c r="G194" s="137"/>
      <c r="H194" s="137"/>
      <c r="I194" s="137"/>
      <c r="J194" s="137"/>
      <c r="K194" s="138"/>
      <c r="L194" s="139"/>
      <c r="M194" s="140"/>
      <c r="N194" s="154"/>
      <c r="O194" s="155"/>
      <c r="P194" s="155"/>
      <c r="Q194" s="155"/>
      <c r="R194" s="162"/>
      <c r="S194" s="163"/>
      <c r="T194" s="163"/>
      <c r="U194" s="163"/>
      <c r="V194" s="163"/>
      <c r="W194" s="161"/>
      <c r="X194" s="162">
        <v>6.5000000000000002E-2</v>
      </c>
      <c r="Y194" s="161">
        <v>39.054649627650001</v>
      </c>
      <c r="Z194" s="162">
        <v>0.16070000000000001</v>
      </c>
      <c r="AA194" s="164">
        <f t="shared" si="14"/>
        <v>19.64352978893</v>
      </c>
      <c r="AB194" s="161">
        <v>19.777119788930001</v>
      </c>
      <c r="AC194" s="162">
        <f>0.274+0.004</f>
        <v>0.27800000000000002</v>
      </c>
      <c r="AD194" s="161">
        <f>488.291+7.427</f>
        <v>495.71800000000002</v>
      </c>
      <c r="AE194" s="162"/>
      <c r="AF194" s="161"/>
      <c r="AG194" s="162"/>
      <c r="AH194" s="161"/>
      <c r="AI194" s="162"/>
      <c r="AJ194" s="163"/>
      <c r="AK194" s="162"/>
      <c r="AL194" s="161"/>
      <c r="AM194" s="162"/>
      <c r="AN194" s="161"/>
      <c r="AO194" s="162"/>
      <c r="AP194" s="161"/>
      <c r="AQ194" s="165">
        <v>27</v>
      </c>
      <c r="AR194" s="166">
        <v>16.49317825</v>
      </c>
      <c r="AS194" s="162"/>
      <c r="AT194" s="161"/>
      <c r="AU194" s="162"/>
      <c r="AV194" s="167"/>
      <c r="AW194" s="168"/>
      <c r="AX194" s="168"/>
      <c r="AY194" s="168"/>
      <c r="AZ194" s="162"/>
      <c r="BA194" s="161"/>
      <c r="BB194" s="169"/>
      <c r="BC194" s="170">
        <v>5.0750000000000002</v>
      </c>
      <c r="BD194" s="153">
        <f t="shared" si="12"/>
        <v>625.20057556698009</v>
      </c>
      <c r="BE194" s="154">
        <f t="shared" si="10"/>
        <v>16.665627900400001</v>
      </c>
      <c r="BF194" s="155">
        <f t="shared" si="11"/>
        <v>24.200000000000003</v>
      </c>
      <c r="BG194" s="149">
        <f t="shared" si="13"/>
        <v>8.2170000000000005</v>
      </c>
      <c r="BH194" s="154">
        <v>1.5E-3</v>
      </c>
      <c r="BI194" s="155">
        <v>1.4164551429000001</v>
      </c>
      <c r="BJ194" s="155">
        <v>1E-3</v>
      </c>
      <c r="BK194" s="155">
        <v>0.91617275750000005</v>
      </c>
      <c r="BL194" s="155"/>
      <c r="BM194" s="155"/>
      <c r="BN194" s="155">
        <v>2E-3</v>
      </c>
      <c r="BO194" s="155">
        <v>0.77600000000000002</v>
      </c>
      <c r="BP194" s="171"/>
      <c r="BQ194" s="155"/>
      <c r="BR194" s="155">
        <v>13</v>
      </c>
      <c r="BS194" s="167">
        <v>13.557</v>
      </c>
      <c r="BT194" s="154">
        <v>3.0000000000000001E-3</v>
      </c>
      <c r="BU194" s="155">
        <v>0.77200000000000002</v>
      </c>
      <c r="BV194" s="155">
        <v>2</v>
      </c>
      <c r="BW194" s="155">
        <v>0.47299999999999998</v>
      </c>
      <c r="BX194" s="159">
        <v>10</v>
      </c>
      <c r="BY194" s="155">
        <v>14.738</v>
      </c>
      <c r="BZ194" s="155">
        <v>51</v>
      </c>
      <c r="CA194" s="167">
        <v>8.2170000000000005</v>
      </c>
    </row>
    <row r="195" spans="1:79">
      <c r="A195" s="132"/>
      <c r="B195" s="160" t="s">
        <v>248</v>
      </c>
      <c r="C195" s="134"/>
      <c r="D195" s="135"/>
      <c r="E195" s="136"/>
      <c r="F195" s="137"/>
      <c r="G195" s="137"/>
      <c r="H195" s="137"/>
      <c r="I195" s="137"/>
      <c r="J195" s="137"/>
      <c r="K195" s="138"/>
      <c r="L195" s="139"/>
      <c r="M195" s="140"/>
      <c r="N195" s="154"/>
      <c r="O195" s="155"/>
      <c r="P195" s="155">
        <v>4.0000000000000001E-3</v>
      </c>
      <c r="Q195" s="155">
        <v>2.9455516616399997</v>
      </c>
      <c r="R195" s="162"/>
      <c r="S195" s="163"/>
      <c r="T195" s="163"/>
      <c r="U195" s="163"/>
      <c r="V195" s="163"/>
      <c r="W195" s="161"/>
      <c r="X195" s="162">
        <v>0.31269999999999998</v>
      </c>
      <c r="Y195" s="161">
        <v>70.357500000000002</v>
      </c>
      <c r="Z195" s="162">
        <v>0.24590000000000001</v>
      </c>
      <c r="AA195" s="164">
        <f t="shared" si="14"/>
        <v>31.006108912049999</v>
      </c>
      <c r="AB195" s="161">
        <v>31.139698912050001</v>
      </c>
      <c r="AC195" s="162">
        <f>0.423+0.024+0.044</f>
        <v>0.49099999999999999</v>
      </c>
      <c r="AD195" s="161">
        <f>731.127+1.068+75.166</f>
        <v>807.36099999999988</v>
      </c>
      <c r="AE195" s="162"/>
      <c r="AF195" s="161"/>
      <c r="AG195" s="162"/>
      <c r="AH195" s="161"/>
      <c r="AI195" s="162">
        <v>5</v>
      </c>
      <c r="AJ195" s="163">
        <v>4.0511776900000003</v>
      </c>
      <c r="AK195" s="162"/>
      <c r="AL195" s="161"/>
      <c r="AM195" s="162">
        <v>3</v>
      </c>
      <c r="AN195" s="161">
        <v>3.5494599999999998</v>
      </c>
      <c r="AO195" s="162"/>
      <c r="AP195" s="161"/>
      <c r="AQ195" s="165">
        <v>37</v>
      </c>
      <c r="AR195" s="166">
        <v>16.261096301999999</v>
      </c>
      <c r="AS195" s="162">
        <v>4.5500000000000002E-3</v>
      </c>
      <c r="AT195" s="161">
        <v>13.770089400000002</v>
      </c>
      <c r="AU195" s="162"/>
      <c r="AV195" s="167"/>
      <c r="AW195" s="168"/>
      <c r="AX195" s="168"/>
      <c r="AY195" s="168"/>
      <c r="AZ195" s="162"/>
      <c r="BA195" s="161"/>
      <c r="BB195" s="169"/>
      <c r="BC195" s="170">
        <v>17.184999999999999</v>
      </c>
      <c r="BD195" s="153">
        <f t="shared" si="12"/>
        <v>1098.7475739656898</v>
      </c>
      <c r="BE195" s="154">
        <f t="shared" si="10"/>
        <v>20.997</v>
      </c>
      <c r="BF195" s="155">
        <f t="shared" si="11"/>
        <v>101.56899999999999</v>
      </c>
      <c r="BG195" s="149">
        <f t="shared" si="13"/>
        <v>9.5609999999999999</v>
      </c>
      <c r="BH195" s="154"/>
      <c r="BI195" s="155"/>
      <c r="BJ195" s="155"/>
      <c r="BK195" s="155"/>
      <c r="BL195" s="155"/>
      <c r="BM195" s="155"/>
      <c r="BN195" s="155">
        <v>8.9999999999999993E-3</v>
      </c>
      <c r="BO195" s="155">
        <v>4.641</v>
      </c>
      <c r="BP195" s="171"/>
      <c r="BQ195" s="155"/>
      <c r="BR195" s="155">
        <v>14</v>
      </c>
      <c r="BS195" s="167">
        <v>16.356000000000002</v>
      </c>
      <c r="BT195" s="154">
        <v>0.08</v>
      </c>
      <c r="BU195" s="155">
        <v>46.649000000000001</v>
      </c>
      <c r="BV195" s="155">
        <v>1</v>
      </c>
      <c r="BW195" s="155">
        <v>0.23599999999999999</v>
      </c>
      <c r="BX195" s="159">
        <v>17</v>
      </c>
      <c r="BY195" s="155">
        <v>45.122999999999998</v>
      </c>
      <c r="BZ195" s="155">
        <v>55</v>
      </c>
      <c r="CA195" s="167">
        <v>9.5609999999999999</v>
      </c>
    </row>
    <row r="196" spans="1:79">
      <c r="A196" s="132"/>
      <c r="B196" s="160" t="s">
        <v>249</v>
      </c>
      <c r="C196" s="134"/>
      <c r="D196" s="135"/>
      <c r="E196" s="136"/>
      <c r="F196" s="137"/>
      <c r="G196" s="137"/>
      <c r="H196" s="137"/>
      <c r="I196" s="137"/>
      <c r="J196" s="137"/>
      <c r="K196" s="138"/>
      <c r="L196" s="139"/>
      <c r="M196" s="140"/>
      <c r="N196" s="154"/>
      <c r="O196" s="155"/>
      <c r="P196" s="155">
        <v>2E-3</v>
      </c>
      <c r="Q196" s="155">
        <v>17.864000000000001</v>
      </c>
      <c r="R196" s="162"/>
      <c r="S196" s="163"/>
      <c r="T196" s="163"/>
      <c r="U196" s="163"/>
      <c r="V196" s="163"/>
      <c r="W196" s="161"/>
      <c r="X196" s="162">
        <v>5.0000000000000001E-3</v>
      </c>
      <c r="Y196" s="161">
        <v>3.3703159999999999</v>
      </c>
      <c r="Z196" s="162">
        <v>0.15679999999999999</v>
      </c>
      <c r="AA196" s="164">
        <f t="shared" si="14"/>
        <v>24.571153363879997</v>
      </c>
      <c r="AB196" s="161">
        <v>24.704743363879999</v>
      </c>
      <c r="AC196" s="162">
        <v>1.6E-2</v>
      </c>
      <c r="AD196" s="161">
        <v>0.71218382975999994</v>
      </c>
      <c r="AE196" s="162">
        <v>0.25719999999999998</v>
      </c>
      <c r="AF196" s="161">
        <v>84.726511739199992</v>
      </c>
      <c r="AG196" s="162">
        <v>1E-3</v>
      </c>
      <c r="AH196" s="161">
        <v>1.0895911</v>
      </c>
      <c r="AI196" s="162"/>
      <c r="AJ196" s="163"/>
      <c r="AK196" s="162"/>
      <c r="AL196" s="161"/>
      <c r="AM196" s="162">
        <v>6</v>
      </c>
      <c r="AN196" s="161">
        <v>17.17427</v>
      </c>
      <c r="AO196" s="162">
        <v>20</v>
      </c>
      <c r="AP196" s="161">
        <v>323.2</v>
      </c>
      <c r="AQ196" s="165">
        <v>30</v>
      </c>
      <c r="AR196" s="166">
        <v>9.8678485030000012</v>
      </c>
      <c r="AS196" s="162"/>
      <c r="AT196" s="161"/>
      <c r="AU196" s="162">
        <f>16.051+82.768</f>
        <v>98.819000000000003</v>
      </c>
      <c r="AV196" s="167"/>
      <c r="AW196" s="168"/>
      <c r="AX196" s="168"/>
      <c r="AY196" s="168"/>
      <c r="AZ196" s="162"/>
      <c r="BA196" s="161"/>
      <c r="BB196" s="169"/>
      <c r="BC196" s="170">
        <v>59.244999999999997</v>
      </c>
      <c r="BD196" s="153">
        <f t="shared" si="12"/>
        <v>1081.7199170599397</v>
      </c>
      <c r="BE196" s="154">
        <f t="shared" si="10"/>
        <v>291.32245252409996</v>
      </c>
      <c r="BF196" s="155">
        <f t="shared" si="11"/>
        <v>101.264</v>
      </c>
      <c r="BG196" s="149">
        <f t="shared" si="13"/>
        <v>48.36</v>
      </c>
      <c r="BH196" s="154">
        <v>9.5000000000000015E-3</v>
      </c>
      <c r="BI196" s="155">
        <v>8.7679714260000008</v>
      </c>
      <c r="BJ196" s="155">
        <v>6.4000000000000001E-2</v>
      </c>
      <c r="BK196" s="155">
        <v>61.626175406300007</v>
      </c>
      <c r="BL196" s="155">
        <v>2.1999999999999999E-2</v>
      </c>
      <c r="BM196" s="155">
        <v>32.502305691799997</v>
      </c>
      <c r="BN196" s="155">
        <v>0.03</v>
      </c>
      <c r="BO196" s="155">
        <v>25.266999999999999</v>
      </c>
      <c r="BP196" s="171"/>
      <c r="BQ196" s="155"/>
      <c r="BR196" s="155">
        <v>129</v>
      </c>
      <c r="BS196" s="167">
        <v>163.15899999999999</v>
      </c>
      <c r="BT196" s="154">
        <v>0.10299999999999999</v>
      </c>
      <c r="BU196" s="155">
        <v>33.406999999999996</v>
      </c>
      <c r="BV196" s="155">
        <v>20</v>
      </c>
      <c r="BW196" s="155">
        <v>5.9340000000000002</v>
      </c>
      <c r="BX196" s="159">
        <v>8</v>
      </c>
      <c r="BY196" s="155">
        <v>13.563000000000001</v>
      </c>
      <c r="BZ196" s="155">
        <v>272</v>
      </c>
      <c r="CA196" s="167">
        <v>48.36</v>
      </c>
    </row>
    <row r="197" spans="1:79">
      <c r="A197" s="132"/>
      <c r="B197" s="160" t="s">
        <v>250</v>
      </c>
      <c r="C197" s="134"/>
      <c r="D197" s="135"/>
      <c r="E197" s="136"/>
      <c r="F197" s="137"/>
      <c r="G197" s="137"/>
      <c r="H197" s="137"/>
      <c r="I197" s="137"/>
      <c r="J197" s="137"/>
      <c r="K197" s="138"/>
      <c r="L197" s="139"/>
      <c r="M197" s="140"/>
      <c r="N197" s="154"/>
      <c r="O197" s="155"/>
      <c r="P197" s="155"/>
      <c r="Q197" s="155"/>
      <c r="R197" s="162"/>
      <c r="S197" s="163"/>
      <c r="T197" s="163"/>
      <c r="U197" s="163"/>
      <c r="V197" s="163"/>
      <c r="W197" s="161"/>
      <c r="X197" s="162"/>
      <c r="Y197" s="161"/>
      <c r="Z197" s="162">
        <v>6.1999999999999998E-3</v>
      </c>
      <c r="AA197" s="164">
        <f t="shared" si="14"/>
        <v>0.80881633430000011</v>
      </c>
      <c r="AB197" s="161">
        <v>0.94240633430000009</v>
      </c>
      <c r="AC197" s="162">
        <v>2E-3</v>
      </c>
      <c r="AD197" s="161">
        <v>1.7717499999999999</v>
      </c>
      <c r="AE197" s="162">
        <v>0.01</v>
      </c>
      <c r="AF197" s="161">
        <v>1.7376100000000001</v>
      </c>
      <c r="AG197" s="162"/>
      <c r="AH197" s="161"/>
      <c r="AI197" s="162"/>
      <c r="AJ197" s="163"/>
      <c r="AK197" s="162"/>
      <c r="AL197" s="161"/>
      <c r="AM197" s="162"/>
      <c r="AN197" s="161"/>
      <c r="AO197" s="162"/>
      <c r="AP197" s="161"/>
      <c r="AQ197" s="165">
        <v>1</v>
      </c>
      <c r="AR197" s="166">
        <v>8.7809399999999996E-2</v>
      </c>
      <c r="AS197" s="162"/>
      <c r="AT197" s="161"/>
      <c r="AU197" s="162"/>
      <c r="AV197" s="167"/>
      <c r="AW197" s="168"/>
      <c r="AX197" s="168"/>
      <c r="AY197" s="168"/>
      <c r="AZ197" s="162"/>
      <c r="BA197" s="161"/>
      <c r="BB197" s="169"/>
      <c r="BC197" s="170">
        <v>0.60692613500000003</v>
      </c>
      <c r="BD197" s="153">
        <f t="shared" si="12"/>
        <v>47.58222750125001</v>
      </c>
      <c r="BE197" s="154">
        <f t="shared" si="10"/>
        <v>30.330725631950003</v>
      </c>
      <c r="BF197" s="155">
        <f t="shared" si="11"/>
        <v>7.9320000000000004</v>
      </c>
      <c r="BG197" s="149">
        <f t="shared" si="13"/>
        <v>4.173</v>
      </c>
      <c r="BH197" s="154"/>
      <c r="BI197" s="155"/>
      <c r="BJ197" s="155">
        <v>3.5000000000000001E-3</v>
      </c>
      <c r="BK197" s="155">
        <v>2.4483461334499999</v>
      </c>
      <c r="BL197" s="155">
        <v>1.5E-3</v>
      </c>
      <c r="BM197" s="155">
        <v>3.5413794985</v>
      </c>
      <c r="BN197" s="155"/>
      <c r="BO197" s="155"/>
      <c r="BP197" s="171"/>
      <c r="BQ197" s="155"/>
      <c r="BR197" s="155">
        <v>18</v>
      </c>
      <c r="BS197" s="167">
        <v>24.341000000000001</v>
      </c>
      <c r="BT197" s="154"/>
      <c r="BU197" s="155"/>
      <c r="BV197" s="155">
        <v>1</v>
      </c>
      <c r="BW197" s="155">
        <v>0.23599999999999999</v>
      </c>
      <c r="BX197" s="159">
        <v>1</v>
      </c>
      <c r="BY197" s="155">
        <v>3.5230000000000001</v>
      </c>
      <c r="BZ197" s="155">
        <v>37</v>
      </c>
      <c r="CA197" s="167">
        <v>4.173</v>
      </c>
    </row>
    <row r="198" spans="1:79">
      <c r="A198" s="132"/>
      <c r="B198" s="160" t="s">
        <v>251</v>
      </c>
      <c r="C198" s="134"/>
      <c r="D198" s="135"/>
      <c r="E198" s="136"/>
      <c r="F198" s="137"/>
      <c r="G198" s="137"/>
      <c r="H198" s="137"/>
      <c r="I198" s="137"/>
      <c r="J198" s="137"/>
      <c r="K198" s="138"/>
      <c r="L198" s="139"/>
      <c r="M198" s="140"/>
      <c r="N198" s="154">
        <v>2.1999999999999999E-2</v>
      </c>
      <c r="O198" s="155">
        <v>11.4015</v>
      </c>
      <c r="P198" s="155">
        <v>0.128</v>
      </c>
      <c r="Q198" s="155">
        <v>89.52167643380001</v>
      </c>
      <c r="R198" s="162"/>
      <c r="S198" s="163"/>
      <c r="T198" s="163"/>
      <c r="U198" s="163"/>
      <c r="V198" s="163">
        <v>9.0000000000000011E-3</v>
      </c>
      <c r="W198" s="161">
        <v>7.7220000000000004</v>
      </c>
      <c r="X198" s="162">
        <v>4.0000000000000001E-3</v>
      </c>
      <c r="Y198" s="161">
        <v>1.835420552</v>
      </c>
      <c r="Z198" s="162">
        <v>7.5999999999999998E-2</v>
      </c>
      <c r="AA198" s="164">
        <f t="shared" si="14"/>
        <v>42.1868944199</v>
      </c>
      <c r="AB198" s="161">
        <v>42.320484419899998</v>
      </c>
      <c r="AC198" s="162">
        <v>2.3E-2</v>
      </c>
      <c r="AD198" s="161">
        <v>10.632026128</v>
      </c>
      <c r="AE198" s="162">
        <v>1.4999999999999999E-2</v>
      </c>
      <c r="AF198" s="161">
        <v>28.415800000000001</v>
      </c>
      <c r="AG198" s="162"/>
      <c r="AH198" s="161"/>
      <c r="AI198" s="162"/>
      <c r="AJ198" s="163"/>
      <c r="AK198" s="162"/>
      <c r="AL198" s="161"/>
      <c r="AM198" s="162">
        <v>3</v>
      </c>
      <c r="AN198" s="161">
        <v>10.848988179999999</v>
      </c>
      <c r="AO198" s="162">
        <v>4</v>
      </c>
      <c r="AP198" s="161">
        <v>72.5</v>
      </c>
      <c r="AQ198" s="165">
        <v>10</v>
      </c>
      <c r="AR198" s="166">
        <v>5.8757941679999997</v>
      </c>
      <c r="AS198" s="162">
        <v>2.0750000000000005E-2</v>
      </c>
      <c r="AT198" s="161">
        <v>92.953236200000006</v>
      </c>
      <c r="AU198" s="162">
        <v>8.3836742859999998</v>
      </c>
      <c r="AV198" s="167"/>
      <c r="AW198" s="168"/>
      <c r="AX198" s="168">
        <v>1</v>
      </c>
      <c r="AY198" s="168">
        <v>7.6749999999999998</v>
      </c>
      <c r="AZ198" s="162">
        <v>4</v>
      </c>
      <c r="BA198" s="161">
        <v>34.682898199999997</v>
      </c>
      <c r="BB198" s="169"/>
      <c r="BC198" s="170">
        <v>38.786000000000001</v>
      </c>
      <c r="BD198" s="153">
        <f t="shared" si="12"/>
        <v>724.61577796129995</v>
      </c>
      <c r="BE198" s="154">
        <f t="shared" si="10"/>
        <v>209.3372793936</v>
      </c>
      <c r="BF198" s="155">
        <f t="shared" si="11"/>
        <v>33.953999999999994</v>
      </c>
      <c r="BG198" s="149">
        <f t="shared" si="13"/>
        <v>17.77</v>
      </c>
      <c r="BH198" s="154">
        <v>2E-3</v>
      </c>
      <c r="BI198" s="155">
        <v>1.4185402986</v>
      </c>
      <c r="BJ198" s="155">
        <v>2.5499999999999998E-2</v>
      </c>
      <c r="BK198" s="155">
        <v>32.7118189515</v>
      </c>
      <c r="BL198" s="155">
        <v>2.82E-3</v>
      </c>
      <c r="BM198" s="155">
        <v>2.7089201435000003</v>
      </c>
      <c r="BN198" s="155">
        <v>0.02</v>
      </c>
      <c r="BO198" s="155">
        <v>15.595000000000001</v>
      </c>
      <c r="BP198" s="171"/>
      <c r="BQ198" s="155"/>
      <c r="BR198" s="155">
        <v>84</v>
      </c>
      <c r="BS198" s="167">
        <v>156.90299999999999</v>
      </c>
      <c r="BT198" s="154">
        <v>0.04</v>
      </c>
      <c r="BU198" s="155">
        <v>8.6509999999999998</v>
      </c>
      <c r="BV198" s="155">
        <v>1</v>
      </c>
      <c r="BW198" s="155">
        <v>0.27900000000000003</v>
      </c>
      <c r="BX198" s="159">
        <v>3</v>
      </c>
      <c r="BY198" s="155">
        <v>7.2539999999999996</v>
      </c>
      <c r="BZ198" s="155">
        <v>88</v>
      </c>
      <c r="CA198" s="167">
        <v>17.77</v>
      </c>
    </row>
    <row r="199" spans="1:79">
      <c r="A199" s="132"/>
      <c r="B199" s="160" t="s">
        <v>252</v>
      </c>
      <c r="C199" s="134"/>
      <c r="D199" s="135"/>
      <c r="E199" s="136"/>
      <c r="F199" s="137"/>
      <c r="G199" s="137"/>
      <c r="H199" s="137"/>
      <c r="I199" s="137"/>
      <c r="J199" s="137"/>
      <c r="K199" s="138"/>
      <c r="L199" s="139"/>
      <c r="M199" s="140"/>
      <c r="N199" s="154"/>
      <c r="O199" s="155"/>
      <c r="P199" s="155"/>
      <c r="Q199" s="155"/>
      <c r="R199" s="162"/>
      <c r="S199" s="163"/>
      <c r="T199" s="163"/>
      <c r="U199" s="163"/>
      <c r="V199" s="163"/>
      <c r="W199" s="161"/>
      <c r="X199" s="162"/>
      <c r="Y199" s="161"/>
      <c r="Z199" s="162"/>
      <c r="AA199" s="164"/>
      <c r="AB199" s="161"/>
      <c r="AC199" s="162"/>
      <c r="AD199" s="161"/>
      <c r="AE199" s="162"/>
      <c r="AF199" s="161"/>
      <c r="AG199" s="162"/>
      <c r="AH199" s="161"/>
      <c r="AI199" s="162"/>
      <c r="AJ199" s="163"/>
      <c r="AK199" s="162"/>
      <c r="AL199" s="161"/>
      <c r="AM199" s="162"/>
      <c r="AN199" s="161"/>
      <c r="AO199" s="162"/>
      <c r="AP199" s="161"/>
      <c r="AQ199" s="165"/>
      <c r="AR199" s="166"/>
      <c r="AS199" s="162"/>
      <c r="AT199" s="161"/>
      <c r="AU199" s="162"/>
      <c r="AV199" s="167"/>
      <c r="AW199" s="168"/>
      <c r="AX199" s="168"/>
      <c r="AY199" s="168"/>
      <c r="AZ199" s="162"/>
      <c r="BA199" s="161"/>
      <c r="BB199" s="169"/>
      <c r="BC199" s="170"/>
      <c r="BD199" s="153">
        <f t="shared" si="12"/>
        <v>0</v>
      </c>
      <c r="BE199" s="154">
        <f t="shared" ref="BE199:BE212" si="15">BI199+BK199+BM199+BO199+BQ199+BS199</f>
        <v>0</v>
      </c>
      <c r="BF199" s="155">
        <f t="shared" si="11"/>
        <v>0</v>
      </c>
      <c r="BG199" s="149">
        <f t="shared" si="13"/>
        <v>0</v>
      </c>
      <c r="BH199" s="154"/>
      <c r="BI199" s="155"/>
      <c r="BJ199" s="155"/>
      <c r="BK199" s="155"/>
      <c r="BL199" s="155"/>
      <c r="BM199" s="155"/>
      <c r="BN199" s="155"/>
      <c r="BO199" s="155"/>
      <c r="BP199" s="171"/>
      <c r="BQ199" s="155"/>
      <c r="BR199" s="155"/>
      <c r="BS199" s="167"/>
      <c r="BT199" s="154"/>
      <c r="BU199" s="155"/>
      <c r="BV199" s="155"/>
      <c r="BW199" s="155"/>
      <c r="BX199" s="159"/>
      <c r="BY199" s="155"/>
      <c r="BZ199" s="155"/>
      <c r="CA199" s="167"/>
    </row>
    <row r="200" spans="1:79">
      <c r="A200" s="132"/>
      <c r="B200" s="160" t="s">
        <v>253</v>
      </c>
      <c r="C200" s="134"/>
      <c r="D200" s="135"/>
      <c r="E200" s="136"/>
      <c r="F200" s="137"/>
      <c r="G200" s="137"/>
      <c r="H200" s="137"/>
      <c r="I200" s="137"/>
      <c r="J200" s="137"/>
      <c r="K200" s="138"/>
      <c r="L200" s="139"/>
      <c r="M200" s="140"/>
      <c r="N200" s="154"/>
      <c r="O200" s="155"/>
      <c r="P200" s="155"/>
      <c r="Q200" s="155"/>
      <c r="R200" s="162"/>
      <c r="S200" s="163"/>
      <c r="T200" s="163"/>
      <c r="U200" s="163"/>
      <c r="V200" s="163"/>
      <c r="W200" s="161"/>
      <c r="X200" s="162"/>
      <c r="Y200" s="161"/>
      <c r="Z200" s="162">
        <v>5.7000000000000002E-3</v>
      </c>
      <c r="AA200" s="164">
        <f t="shared" si="14"/>
        <v>11.0562396</v>
      </c>
      <c r="AB200" s="161">
        <v>11.189829599999999</v>
      </c>
      <c r="AC200" s="162"/>
      <c r="AD200" s="161"/>
      <c r="AE200" s="162"/>
      <c r="AF200" s="161"/>
      <c r="AG200" s="162"/>
      <c r="AH200" s="161"/>
      <c r="AI200" s="162"/>
      <c r="AJ200" s="163"/>
      <c r="AK200" s="162"/>
      <c r="AL200" s="161"/>
      <c r="AM200" s="162"/>
      <c r="AN200" s="161"/>
      <c r="AO200" s="162"/>
      <c r="AP200" s="161"/>
      <c r="AQ200" s="165">
        <v>1</v>
      </c>
      <c r="AR200" s="166">
        <v>0.77318439999999999</v>
      </c>
      <c r="AS200" s="162">
        <v>1.4E-3</v>
      </c>
      <c r="AT200" s="161">
        <v>6.7116480243999996</v>
      </c>
      <c r="AU200" s="162"/>
      <c r="AV200" s="167"/>
      <c r="AW200" s="168"/>
      <c r="AX200" s="168"/>
      <c r="AY200" s="168"/>
      <c r="AZ200" s="162">
        <v>7</v>
      </c>
      <c r="BA200" s="161">
        <v>21.273</v>
      </c>
      <c r="BB200" s="169"/>
      <c r="BC200" s="170">
        <v>4.0949999999999998</v>
      </c>
      <c r="BD200" s="153">
        <f t="shared" si="12"/>
        <v>71.160662024399997</v>
      </c>
      <c r="BE200" s="154">
        <f t="shared" si="15"/>
        <v>14.397</v>
      </c>
      <c r="BF200" s="155">
        <f t="shared" ref="BF200:BF212" si="16">BU200+BW200+BY200+CA200</f>
        <v>8.6460000000000008</v>
      </c>
      <c r="BG200" s="149">
        <f t="shared" si="13"/>
        <v>4.0750000000000002</v>
      </c>
      <c r="BH200" s="154"/>
      <c r="BI200" s="155"/>
      <c r="BJ200" s="155"/>
      <c r="BK200" s="155"/>
      <c r="BL200" s="155"/>
      <c r="BM200" s="155"/>
      <c r="BN200" s="155">
        <v>2E-3</v>
      </c>
      <c r="BO200" s="155">
        <v>0.95899999999999996</v>
      </c>
      <c r="BP200" s="171"/>
      <c r="BQ200" s="155"/>
      <c r="BR200" s="155">
        <v>14</v>
      </c>
      <c r="BS200" s="167">
        <v>13.438000000000001</v>
      </c>
      <c r="BT200" s="154">
        <v>6.0000000000000001E-3</v>
      </c>
      <c r="BU200" s="155">
        <v>1.298</v>
      </c>
      <c r="BV200" s="155">
        <v>2</v>
      </c>
      <c r="BW200" s="155">
        <v>0.48899999999999999</v>
      </c>
      <c r="BX200" s="159">
        <v>1</v>
      </c>
      <c r="BY200" s="155">
        <v>2.7839999999999998</v>
      </c>
      <c r="BZ200" s="155">
        <v>38</v>
      </c>
      <c r="CA200" s="167">
        <v>4.0750000000000002</v>
      </c>
    </row>
    <row r="201" spans="1:79">
      <c r="A201" s="132"/>
      <c r="B201" s="160" t="s">
        <v>254</v>
      </c>
      <c r="C201" s="134"/>
      <c r="D201" s="135"/>
      <c r="E201" s="136"/>
      <c r="F201" s="137"/>
      <c r="G201" s="137"/>
      <c r="H201" s="137"/>
      <c r="I201" s="137"/>
      <c r="J201" s="137"/>
      <c r="K201" s="138"/>
      <c r="L201" s="139"/>
      <c r="M201" s="140"/>
      <c r="N201" s="154"/>
      <c r="O201" s="155"/>
      <c r="P201" s="155">
        <v>2.9000000000000001E-2</v>
      </c>
      <c r="Q201" s="155">
        <v>5.2429722960000005</v>
      </c>
      <c r="R201" s="162"/>
      <c r="S201" s="163"/>
      <c r="T201" s="163"/>
      <c r="U201" s="163"/>
      <c r="V201" s="163"/>
      <c r="W201" s="161"/>
      <c r="X201" s="162"/>
      <c r="Y201" s="161"/>
      <c r="Z201" s="162">
        <v>0.129</v>
      </c>
      <c r="AA201" s="164">
        <f t="shared" si="14"/>
        <v>13.15316</v>
      </c>
      <c r="AB201" s="161">
        <v>13.28675</v>
      </c>
      <c r="AC201" s="162"/>
      <c r="AD201" s="161"/>
      <c r="AE201" s="162">
        <v>2.8E-3</v>
      </c>
      <c r="AF201" s="161">
        <v>4.2215757142000001</v>
      </c>
      <c r="AG201" s="162"/>
      <c r="AH201" s="161"/>
      <c r="AI201" s="162"/>
      <c r="AJ201" s="163"/>
      <c r="AK201" s="162"/>
      <c r="AL201" s="161"/>
      <c r="AM201" s="162">
        <v>1</v>
      </c>
      <c r="AN201" s="161">
        <v>10.9032</v>
      </c>
      <c r="AO201" s="162"/>
      <c r="AP201" s="161"/>
      <c r="AQ201" s="165">
        <v>12</v>
      </c>
      <c r="AR201" s="166">
        <v>7.0004109999999997</v>
      </c>
      <c r="AS201" s="162"/>
      <c r="AT201" s="161"/>
      <c r="AU201" s="162"/>
      <c r="AV201" s="167"/>
      <c r="AW201" s="168"/>
      <c r="AX201" s="168"/>
      <c r="AY201" s="168"/>
      <c r="AZ201" s="162">
        <v>1</v>
      </c>
      <c r="BA201" s="161">
        <v>5.2967604540000002</v>
      </c>
      <c r="BB201" s="169"/>
      <c r="BC201" s="170">
        <v>2.6070000000000002</v>
      </c>
      <c r="BD201" s="153">
        <f t="shared" ref="BD201:BD212" si="17">O201+Q201++S201+U201+W201+Y201+AB201+AD201+AF201+AH201+AJ201+AL201+AN201+AP201+AR201+AT201+AU201+AV201+AW201+AY201+BA201+BB201+BC201+BE201+BF201+BG201</f>
        <v>203.76105504239996</v>
      </c>
      <c r="BE201" s="154">
        <f t="shared" si="15"/>
        <v>102.4593855782</v>
      </c>
      <c r="BF201" s="155">
        <f t="shared" si="16"/>
        <v>34.138999999999996</v>
      </c>
      <c r="BG201" s="149">
        <f t="shared" si="13"/>
        <v>18.603999999999999</v>
      </c>
      <c r="BH201" s="154"/>
      <c r="BI201" s="155"/>
      <c r="BJ201" s="155">
        <v>1E-3</v>
      </c>
      <c r="BK201" s="155">
        <v>0.72192058820000005</v>
      </c>
      <c r="BL201" s="155">
        <v>2E-3</v>
      </c>
      <c r="BM201" s="155">
        <v>4.0464649899999996</v>
      </c>
      <c r="BN201" s="155">
        <v>8.5999999999999993E-2</v>
      </c>
      <c r="BO201" s="155">
        <v>63.1</v>
      </c>
      <c r="BP201" s="171"/>
      <c r="BQ201" s="155"/>
      <c r="BR201" s="155">
        <v>35</v>
      </c>
      <c r="BS201" s="167">
        <v>34.591000000000001</v>
      </c>
      <c r="BT201" s="154">
        <v>5.0000000000000001E-3</v>
      </c>
      <c r="BU201" s="155">
        <v>14.688000000000001</v>
      </c>
      <c r="BV201" s="155">
        <v>3</v>
      </c>
      <c r="BW201" s="155">
        <v>0.84699999999999998</v>
      </c>
      <c r="BX201" s="159"/>
      <c r="BY201" s="155"/>
      <c r="BZ201" s="155">
        <v>121</v>
      </c>
      <c r="CA201" s="167">
        <v>18.603999999999999</v>
      </c>
    </row>
    <row r="202" spans="1:79">
      <c r="A202" s="132"/>
      <c r="B202" s="160" t="s">
        <v>255</v>
      </c>
      <c r="C202" s="134"/>
      <c r="D202" s="135"/>
      <c r="E202" s="136"/>
      <c r="F202" s="137"/>
      <c r="G202" s="137"/>
      <c r="H202" s="137"/>
      <c r="I202" s="137"/>
      <c r="J202" s="137"/>
      <c r="K202" s="138"/>
      <c r="L202" s="139"/>
      <c r="M202" s="140"/>
      <c r="N202" s="154"/>
      <c r="O202" s="155"/>
      <c r="P202" s="155">
        <v>3.0000000000000001E-3</v>
      </c>
      <c r="Q202" s="155">
        <v>10.464</v>
      </c>
      <c r="R202" s="162"/>
      <c r="S202" s="163"/>
      <c r="T202" s="163"/>
      <c r="U202" s="163"/>
      <c r="V202" s="163"/>
      <c r="W202" s="161"/>
      <c r="X202" s="162"/>
      <c r="Y202" s="161"/>
      <c r="Z202" s="162">
        <v>1.2E-2</v>
      </c>
      <c r="AA202" s="164">
        <f t="shared" si="14"/>
        <v>1.7516725583999997</v>
      </c>
      <c r="AB202" s="161">
        <v>1.8852625583999998</v>
      </c>
      <c r="AC202" s="162">
        <v>0.67700000000000005</v>
      </c>
      <c r="AD202" s="161">
        <v>576.12199999999996</v>
      </c>
      <c r="AE202" s="162"/>
      <c r="AF202" s="161"/>
      <c r="AG202" s="162"/>
      <c r="AH202" s="161"/>
      <c r="AI202" s="162"/>
      <c r="AJ202" s="163"/>
      <c r="AK202" s="162"/>
      <c r="AL202" s="161"/>
      <c r="AM202" s="162">
        <v>3</v>
      </c>
      <c r="AN202" s="161">
        <v>14.620970734999998</v>
      </c>
      <c r="AO202" s="162"/>
      <c r="AP202" s="161"/>
      <c r="AQ202" s="165">
        <v>34</v>
      </c>
      <c r="AR202" s="166">
        <v>53.696100559000001</v>
      </c>
      <c r="AS202" s="162"/>
      <c r="AT202" s="161"/>
      <c r="AU202" s="162"/>
      <c r="AV202" s="167"/>
      <c r="AW202" s="168"/>
      <c r="AX202" s="168"/>
      <c r="AY202" s="168"/>
      <c r="AZ202" s="162">
        <v>1</v>
      </c>
      <c r="BA202" s="161">
        <v>8.6707245499999992</v>
      </c>
      <c r="BB202" s="169"/>
      <c r="BC202" s="170">
        <v>6.97</v>
      </c>
      <c r="BD202" s="153">
        <f t="shared" si="17"/>
        <v>732.7790584024001</v>
      </c>
      <c r="BE202" s="154">
        <f t="shared" si="15"/>
        <v>30.643999999999998</v>
      </c>
      <c r="BF202" s="155">
        <f t="shared" si="16"/>
        <v>23.024000000000001</v>
      </c>
      <c r="BG202" s="149">
        <f t="shared" ref="BG202:BG212" si="18">CA202</f>
        <v>6.6820000000000004</v>
      </c>
      <c r="BH202" s="154"/>
      <c r="BI202" s="155"/>
      <c r="BJ202" s="155"/>
      <c r="BK202" s="155"/>
      <c r="BL202" s="155"/>
      <c r="BM202" s="155"/>
      <c r="BN202" s="155"/>
      <c r="BO202" s="155"/>
      <c r="BP202" s="171"/>
      <c r="BQ202" s="155"/>
      <c r="BR202" s="155">
        <v>31</v>
      </c>
      <c r="BS202" s="167">
        <v>30.643999999999998</v>
      </c>
      <c r="BT202" s="154">
        <v>5.0000000000000001E-3</v>
      </c>
      <c r="BU202" s="155">
        <v>0.39800000000000002</v>
      </c>
      <c r="BV202" s="155">
        <v>2</v>
      </c>
      <c r="BW202" s="155">
        <v>0.61299999999999999</v>
      </c>
      <c r="BX202" s="159">
        <v>8</v>
      </c>
      <c r="BY202" s="155">
        <v>15.331</v>
      </c>
      <c r="BZ202" s="155">
        <v>61</v>
      </c>
      <c r="CA202" s="167">
        <v>6.6820000000000004</v>
      </c>
    </row>
    <row r="203" spans="1:79">
      <c r="A203" s="132"/>
      <c r="B203" s="160" t="s">
        <v>256</v>
      </c>
      <c r="C203" s="134"/>
      <c r="D203" s="135"/>
      <c r="E203" s="136"/>
      <c r="F203" s="137"/>
      <c r="G203" s="137"/>
      <c r="H203" s="137"/>
      <c r="I203" s="137"/>
      <c r="J203" s="137"/>
      <c r="K203" s="138"/>
      <c r="L203" s="139"/>
      <c r="M203" s="140"/>
      <c r="N203" s="154"/>
      <c r="O203" s="155"/>
      <c r="P203" s="155">
        <v>0.05</v>
      </c>
      <c r="Q203" s="155">
        <v>6.8295099500000003</v>
      </c>
      <c r="R203" s="162"/>
      <c r="S203" s="163"/>
      <c r="T203" s="163"/>
      <c r="U203" s="163"/>
      <c r="V203" s="163"/>
      <c r="W203" s="161"/>
      <c r="X203" s="162">
        <v>6.5000000000000002E-2</v>
      </c>
      <c r="Y203" s="161">
        <v>14.625</v>
      </c>
      <c r="Z203" s="162">
        <v>9.4999999999999998E-3</v>
      </c>
      <c r="AA203" s="164">
        <f t="shared" si="14"/>
        <v>1.0229373375500002</v>
      </c>
      <c r="AB203" s="161">
        <v>1.15652733755</v>
      </c>
      <c r="AC203" s="162">
        <v>7.0000000000000001E-3</v>
      </c>
      <c r="AD203" s="161">
        <v>1.50717225806</v>
      </c>
      <c r="AE203" s="162"/>
      <c r="AF203" s="161"/>
      <c r="AG203" s="162">
        <v>1.3050000000000002E-3</v>
      </c>
      <c r="AH203" s="161">
        <v>1.80294981122</v>
      </c>
      <c r="AI203" s="162">
        <v>1</v>
      </c>
      <c r="AJ203" s="163">
        <v>0.47764937499999999</v>
      </c>
      <c r="AK203" s="162"/>
      <c r="AL203" s="161"/>
      <c r="AM203" s="162"/>
      <c r="AN203" s="161"/>
      <c r="AO203" s="162"/>
      <c r="AP203" s="161"/>
      <c r="AQ203" s="165">
        <v>3</v>
      </c>
      <c r="AR203" s="166">
        <v>0.32050258800000003</v>
      </c>
      <c r="AS203" s="162"/>
      <c r="AT203" s="161"/>
      <c r="AU203" s="162"/>
      <c r="AV203" s="167"/>
      <c r="AW203" s="168"/>
      <c r="AX203" s="168"/>
      <c r="AY203" s="168"/>
      <c r="AZ203" s="162"/>
      <c r="BA203" s="161"/>
      <c r="BB203" s="169"/>
      <c r="BC203" s="170">
        <v>14.449</v>
      </c>
      <c r="BD203" s="153">
        <f t="shared" si="17"/>
        <v>145.69693375482998</v>
      </c>
      <c r="BE203" s="154">
        <f t="shared" si="15"/>
        <v>55.289622434999998</v>
      </c>
      <c r="BF203" s="155">
        <f t="shared" si="16"/>
        <v>30.649000000000001</v>
      </c>
      <c r="BG203" s="149">
        <f t="shared" si="18"/>
        <v>18.59</v>
      </c>
      <c r="BH203" s="154"/>
      <c r="BI203" s="155"/>
      <c r="BJ203" s="155">
        <v>5.0000000000000001E-3</v>
      </c>
      <c r="BK203" s="155">
        <v>4.7948314349999999</v>
      </c>
      <c r="BL203" s="155">
        <v>1E-3</v>
      </c>
      <c r="BM203" s="155">
        <v>1.750791</v>
      </c>
      <c r="BN203" s="155">
        <v>7.0000000000000001E-3</v>
      </c>
      <c r="BO203" s="155">
        <v>4.1859999999999999</v>
      </c>
      <c r="BP203" s="171"/>
      <c r="BQ203" s="155"/>
      <c r="BR203" s="155">
        <v>49</v>
      </c>
      <c r="BS203" s="167">
        <v>44.558</v>
      </c>
      <c r="BT203" s="154">
        <v>2.5000000000000001E-2</v>
      </c>
      <c r="BU203" s="155">
        <v>6.4329999999999998</v>
      </c>
      <c r="BV203" s="155">
        <v>2</v>
      </c>
      <c r="BW203" s="155">
        <v>0.46600000000000003</v>
      </c>
      <c r="BX203" s="159">
        <v>2</v>
      </c>
      <c r="BY203" s="155">
        <v>5.16</v>
      </c>
      <c r="BZ203" s="155">
        <v>91</v>
      </c>
      <c r="CA203" s="167">
        <v>18.59</v>
      </c>
    </row>
    <row r="204" spans="1:79">
      <c r="A204" s="132"/>
      <c r="B204" s="160" t="s">
        <v>257</v>
      </c>
      <c r="C204" s="134"/>
      <c r="D204" s="135"/>
      <c r="E204" s="136"/>
      <c r="F204" s="137"/>
      <c r="G204" s="137"/>
      <c r="H204" s="137"/>
      <c r="I204" s="137"/>
      <c r="J204" s="137"/>
      <c r="K204" s="138"/>
      <c r="L204" s="139"/>
      <c r="M204" s="140"/>
      <c r="N204" s="154"/>
      <c r="O204" s="155"/>
      <c r="P204" s="155">
        <v>6.0000000000000001E-3</v>
      </c>
      <c r="Q204" s="155">
        <v>5.1768599999999996</v>
      </c>
      <c r="R204" s="162"/>
      <c r="S204" s="163"/>
      <c r="T204" s="163"/>
      <c r="U204" s="163"/>
      <c r="V204" s="163"/>
      <c r="W204" s="161"/>
      <c r="X204" s="162">
        <v>3.3000000000000002E-2</v>
      </c>
      <c r="Y204" s="161">
        <v>7.4250000000000007</v>
      </c>
      <c r="Z204" s="162">
        <v>2.7400000000000001E-2</v>
      </c>
      <c r="AA204" s="164">
        <f t="shared" ref="AA204:AA210" si="19">AB204-0.13359</f>
        <v>5.5792109620600003</v>
      </c>
      <c r="AB204" s="161">
        <v>5.7128009620600002</v>
      </c>
      <c r="AC204" s="162"/>
      <c r="AD204" s="161"/>
      <c r="AE204" s="162"/>
      <c r="AF204" s="161"/>
      <c r="AG204" s="162"/>
      <c r="AH204" s="161"/>
      <c r="AI204" s="162"/>
      <c r="AJ204" s="163"/>
      <c r="AK204" s="162">
        <v>2.2499999999999999E-2</v>
      </c>
      <c r="AL204" s="161">
        <v>33.092450205974998</v>
      </c>
      <c r="AM204" s="162">
        <v>1</v>
      </c>
      <c r="AN204" s="161">
        <v>2.2797749999999999</v>
      </c>
      <c r="AO204" s="162"/>
      <c r="AP204" s="161"/>
      <c r="AQ204" s="165">
        <v>6</v>
      </c>
      <c r="AR204" s="166">
        <v>2.6936748599999998</v>
      </c>
      <c r="AS204" s="162"/>
      <c r="AT204" s="161"/>
      <c r="AU204" s="162"/>
      <c r="AV204" s="167"/>
      <c r="AW204" s="168"/>
      <c r="AX204" s="168"/>
      <c r="AY204" s="168"/>
      <c r="AZ204" s="162"/>
      <c r="BA204" s="161"/>
      <c r="BB204" s="169"/>
      <c r="BC204" s="170">
        <f>1.39299121+12.719</f>
        <v>14.111991209999999</v>
      </c>
      <c r="BD204" s="153">
        <f t="shared" si="17"/>
        <v>209.731001810945</v>
      </c>
      <c r="BE204" s="154">
        <f t="shared" si="15"/>
        <v>120.06444957290999</v>
      </c>
      <c r="BF204" s="155">
        <f t="shared" si="16"/>
        <v>12.766999999999999</v>
      </c>
      <c r="BG204" s="149">
        <f t="shared" si="18"/>
        <v>6.407</v>
      </c>
      <c r="BH204" s="154"/>
      <c r="BI204" s="155"/>
      <c r="BJ204" s="155">
        <v>6.0000000000000001E-3</v>
      </c>
      <c r="BK204" s="155">
        <v>5.4970365450000003</v>
      </c>
      <c r="BL204" s="155">
        <v>1.23E-2</v>
      </c>
      <c r="BM204" s="155">
        <v>10.144413027909998</v>
      </c>
      <c r="BN204" s="155">
        <v>4.0000000000000001E-3</v>
      </c>
      <c r="BO204" s="155">
        <v>3.1139999999999999</v>
      </c>
      <c r="BP204" s="171"/>
      <c r="BQ204" s="155"/>
      <c r="BR204" s="155">
        <v>93</v>
      </c>
      <c r="BS204" s="167">
        <v>101.309</v>
      </c>
      <c r="BT204" s="154"/>
      <c r="BU204" s="155"/>
      <c r="BV204" s="155">
        <v>3</v>
      </c>
      <c r="BW204" s="155">
        <v>1.0389999999999999</v>
      </c>
      <c r="BX204" s="159">
        <v>3</v>
      </c>
      <c r="BY204" s="155">
        <v>5.3209999999999997</v>
      </c>
      <c r="BZ204" s="155">
        <v>46</v>
      </c>
      <c r="CA204" s="167">
        <v>6.407</v>
      </c>
    </row>
    <row r="205" spans="1:79">
      <c r="A205" s="132"/>
      <c r="B205" s="160" t="s">
        <v>258</v>
      </c>
      <c r="C205" s="134"/>
      <c r="D205" s="135"/>
      <c r="E205" s="136"/>
      <c r="F205" s="137"/>
      <c r="G205" s="137"/>
      <c r="H205" s="137"/>
      <c r="I205" s="137"/>
      <c r="J205" s="137"/>
      <c r="K205" s="138"/>
      <c r="L205" s="139"/>
      <c r="M205" s="140"/>
      <c r="N205" s="154"/>
      <c r="O205" s="155"/>
      <c r="P205" s="155"/>
      <c r="Q205" s="155"/>
      <c r="R205" s="162"/>
      <c r="S205" s="163"/>
      <c r="T205" s="163"/>
      <c r="U205" s="163"/>
      <c r="V205" s="163"/>
      <c r="W205" s="161"/>
      <c r="X205" s="162"/>
      <c r="Y205" s="161"/>
      <c r="Z205" s="162">
        <v>0.1762</v>
      </c>
      <c r="AA205" s="164">
        <f t="shared" si="19"/>
        <v>57.288260934740002</v>
      </c>
      <c r="AB205" s="161">
        <v>57.42185093474</v>
      </c>
      <c r="AC205" s="162">
        <f>0.214+0.214+0.085</f>
        <v>0.51300000000000001</v>
      </c>
      <c r="AD205" s="161">
        <f>262.896+351.213+192.654</f>
        <v>806.76300000000003</v>
      </c>
      <c r="AE205" s="162"/>
      <c r="AF205" s="161"/>
      <c r="AG205" s="162">
        <v>1.2E-2</v>
      </c>
      <c r="AH205" s="161">
        <v>5.9248863839999997</v>
      </c>
      <c r="AI205" s="162"/>
      <c r="AJ205" s="163"/>
      <c r="AK205" s="162"/>
      <c r="AL205" s="161"/>
      <c r="AM205" s="162">
        <v>7</v>
      </c>
      <c r="AN205" s="161">
        <v>14.083800693999999</v>
      </c>
      <c r="AO205" s="162"/>
      <c r="AP205" s="161"/>
      <c r="AQ205" s="165">
        <v>45</v>
      </c>
      <c r="AR205" s="166">
        <v>42.033828553846156</v>
      </c>
      <c r="AS205" s="162">
        <v>2.5999999999999999E-3</v>
      </c>
      <c r="AT205" s="161">
        <v>2.8398824</v>
      </c>
      <c r="AU205" s="162"/>
      <c r="AV205" s="167"/>
      <c r="AW205" s="168"/>
      <c r="AX205" s="168"/>
      <c r="AY205" s="168"/>
      <c r="AZ205" s="162"/>
      <c r="BA205" s="161"/>
      <c r="BB205" s="169"/>
      <c r="BC205" s="170">
        <v>8.8149999999999995</v>
      </c>
      <c r="BD205" s="153">
        <f t="shared" si="17"/>
        <v>1113.1364517135664</v>
      </c>
      <c r="BE205" s="154">
        <f t="shared" si="15"/>
        <v>109.36420274698001</v>
      </c>
      <c r="BF205" s="155">
        <f t="shared" si="16"/>
        <v>51.653999999999996</v>
      </c>
      <c r="BG205" s="149">
        <f t="shared" si="18"/>
        <v>14.236000000000001</v>
      </c>
      <c r="BH205" s="154"/>
      <c r="BI205" s="155"/>
      <c r="BJ205" s="155">
        <v>7.7999999999999996E-3</v>
      </c>
      <c r="BK205" s="155">
        <v>9.4000211260800004</v>
      </c>
      <c r="BL205" s="155">
        <v>8.5000000000000006E-3</v>
      </c>
      <c r="BM205" s="155">
        <v>5.4271816209000008</v>
      </c>
      <c r="BN205" s="155"/>
      <c r="BO205" s="155"/>
      <c r="BP205" s="171"/>
      <c r="BQ205" s="155"/>
      <c r="BR205" s="155">
        <v>70</v>
      </c>
      <c r="BS205" s="167">
        <v>94.537000000000006</v>
      </c>
      <c r="BT205" s="154"/>
      <c r="BU205" s="155"/>
      <c r="BV205" s="155">
        <v>5</v>
      </c>
      <c r="BW205" s="155">
        <v>1.663</v>
      </c>
      <c r="BX205" s="159">
        <v>18</v>
      </c>
      <c r="BY205" s="155">
        <v>35.755000000000003</v>
      </c>
      <c r="BZ205" s="155">
        <v>100</v>
      </c>
      <c r="CA205" s="167">
        <v>14.236000000000001</v>
      </c>
    </row>
    <row r="206" spans="1:79">
      <c r="A206" s="132"/>
      <c r="B206" s="189" t="s">
        <v>259</v>
      </c>
      <c r="C206" s="134"/>
      <c r="D206" s="135"/>
      <c r="E206" s="136"/>
      <c r="F206" s="137"/>
      <c r="G206" s="137"/>
      <c r="H206" s="137"/>
      <c r="I206" s="137"/>
      <c r="J206" s="137"/>
      <c r="K206" s="138"/>
      <c r="L206" s="139"/>
      <c r="M206" s="140"/>
      <c r="N206" s="154"/>
      <c r="O206" s="155"/>
      <c r="P206" s="155">
        <v>2.5000000000000001E-3</v>
      </c>
      <c r="Q206" s="155">
        <v>1.2136110000000002</v>
      </c>
      <c r="R206" s="162"/>
      <c r="S206" s="163"/>
      <c r="T206" s="163"/>
      <c r="U206" s="163"/>
      <c r="V206" s="163"/>
      <c r="W206" s="161"/>
      <c r="X206" s="162"/>
      <c r="Y206" s="161"/>
      <c r="Z206" s="162">
        <v>1.3000000000000001E-2</v>
      </c>
      <c r="AA206" s="164">
        <f t="shared" si="19"/>
        <v>1.6631654420500004</v>
      </c>
      <c r="AB206" s="161">
        <v>1.7967554420500003</v>
      </c>
      <c r="AC206" s="162"/>
      <c r="AD206" s="161"/>
      <c r="AE206" s="162"/>
      <c r="AF206" s="161"/>
      <c r="AG206" s="162"/>
      <c r="AH206" s="161"/>
      <c r="AI206" s="162">
        <v>3</v>
      </c>
      <c r="AJ206" s="163">
        <v>1.7209628769999998</v>
      </c>
      <c r="AK206" s="162"/>
      <c r="AL206" s="161"/>
      <c r="AM206" s="162"/>
      <c r="AN206" s="161"/>
      <c r="AO206" s="162"/>
      <c r="AP206" s="161"/>
      <c r="AQ206" s="165">
        <v>18</v>
      </c>
      <c r="AR206" s="166">
        <v>9.5297034200000006</v>
      </c>
      <c r="AS206" s="162"/>
      <c r="AT206" s="161"/>
      <c r="AU206" s="162"/>
      <c r="AV206" s="167"/>
      <c r="AW206" s="168"/>
      <c r="AX206" s="168"/>
      <c r="AY206" s="168"/>
      <c r="AZ206" s="162"/>
      <c r="BA206" s="161"/>
      <c r="BB206" s="169"/>
      <c r="BC206" s="170">
        <v>46.136000000000003</v>
      </c>
      <c r="BD206" s="153">
        <f t="shared" si="17"/>
        <v>245.54797167175002</v>
      </c>
      <c r="BE206" s="154">
        <f t="shared" si="15"/>
        <v>148.45593893270001</v>
      </c>
      <c r="BF206" s="155">
        <f t="shared" si="16"/>
        <v>31.043999999999997</v>
      </c>
      <c r="BG206" s="149">
        <f t="shared" si="18"/>
        <v>5.6509999999999998</v>
      </c>
      <c r="BH206" s="154">
        <v>2E-3</v>
      </c>
      <c r="BI206" s="155">
        <v>1.4462316000000002</v>
      </c>
      <c r="BJ206" s="155">
        <v>1.4999999999999999E-2</v>
      </c>
      <c r="BK206" s="155">
        <v>8.9060837144999994</v>
      </c>
      <c r="BL206" s="155">
        <v>1E-3</v>
      </c>
      <c r="BM206" s="155">
        <v>0.86858806820000001</v>
      </c>
      <c r="BN206" s="155">
        <v>4.0000000000000001E-3</v>
      </c>
      <c r="BO206" s="155">
        <v>2.5579999999999998</v>
      </c>
      <c r="BP206" s="171">
        <v>1</v>
      </c>
      <c r="BQ206" s="155">
        <v>1.95003555</v>
      </c>
      <c r="BR206" s="155">
        <v>98</v>
      </c>
      <c r="BS206" s="167">
        <v>132.727</v>
      </c>
      <c r="BT206" s="154">
        <v>0.21099999999999999</v>
      </c>
      <c r="BU206" s="155">
        <v>22.31</v>
      </c>
      <c r="BV206" s="155">
        <v>3</v>
      </c>
      <c r="BW206" s="155">
        <v>0.752</v>
      </c>
      <c r="BX206" s="159">
        <v>1</v>
      </c>
      <c r="BY206" s="155">
        <v>2.331</v>
      </c>
      <c r="BZ206" s="155">
        <v>33</v>
      </c>
      <c r="CA206" s="167">
        <v>5.6509999999999998</v>
      </c>
    </row>
    <row r="207" spans="1:79">
      <c r="A207" s="132"/>
      <c r="B207" s="160" t="s">
        <v>260</v>
      </c>
      <c r="C207" s="134"/>
      <c r="D207" s="135"/>
      <c r="E207" s="136"/>
      <c r="F207" s="137"/>
      <c r="G207" s="137"/>
      <c r="H207" s="137"/>
      <c r="I207" s="137"/>
      <c r="J207" s="137"/>
      <c r="K207" s="138"/>
      <c r="L207" s="139"/>
      <c r="M207" s="140"/>
      <c r="N207" s="154"/>
      <c r="O207" s="155"/>
      <c r="P207" s="155"/>
      <c r="Q207" s="155"/>
      <c r="R207" s="162"/>
      <c r="S207" s="163"/>
      <c r="T207" s="163"/>
      <c r="U207" s="163"/>
      <c r="V207" s="163"/>
      <c r="W207" s="161"/>
      <c r="X207" s="162">
        <v>0.01</v>
      </c>
      <c r="Y207" s="161">
        <v>3.1595845580999997</v>
      </c>
      <c r="Z207" s="162">
        <v>2.2400000000000003E-2</v>
      </c>
      <c r="AA207" s="164">
        <f t="shared" si="19"/>
        <v>4.4093521379600009</v>
      </c>
      <c r="AB207" s="161">
        <v>4.5429421379600008</v>
      </c>
      <c r="AC207" s="162"/>
      <c r="AD207" s="161"/>
      <c r="AE207" s="162"/>
      <c r="AF207" s="161"/>
      <c r="AG207" s="162"/>
      <c r="AH207" s="161"/>
      <c r="AI207" s="162"/>
      <c r="AJ207" s="163"/>
      <c r="AK207" s="162"/>
      <c r="AL207" s="161"/>
      <c r="AM207" s="162">
        <v>1</v>
      </c>
      <c r="AN207" s="161">
        <v>1.9009923799999999</v>
      </c>
      <c r="AO207" s="162"/>
      <c r="AP207" s="161"/>
      <c r="AQ207" s="165">
        <v>5</v>
      </c>
      <c r="AR207" s="166">
        <v>0.41481245999999999</v>
      </c>
      <c r="AS207" s="162">
        <v>3.0000000000000001E-3</v>
      </c>
      <c r="AT207" s="161">
        <v>7.9100459999999995</v>
      </c>
      <c r="AU207" s="162"/>
      <c r="AV207" s="167"/>
      <c r="AW207" s="168"/>
      <c r="AX207" s="168"/>
      <c r="AY207" s="168"/>
      <c r="AZ207" s="162"/>
      <c r="BA207" s="161"/>
      <c r="BB207" s="169"/>
      <c r="BC207" s="170">
        <v>5.4569999999999999</v>
      </c>
      <c r="BD207" s="153">
        <f t="shared" si="17"/>
        <v>85.438433353779999</v>
      </c>
      <c r="BE207" s="154">
        <f t="shared" si="15"/>
        <v>53.140055817719997</v>
      </c>
      <c r="BF207" s="155">
        <f t="shared" si="16"/>
        <v>5.7690000000000001</v>
      </c>
      <c r="BG207" s="149">
        <f t="shared" si="18"/>
        <v>3.1440000000000001</v>
      </c>
      <c r="BH207" s="154"/>
      <c r="BI207" s="155"/>
      <c r="BJ207" s="155">
        <v>8.0000000000000002E-3</v>
      </c>
      <c r="BK207" s="155">
        <v>7.3293820600000004</v>
      </c>
      <c r="BL207" s="155">
        <v>5.1999999999999998E-3</v>
      </c>
      <c r="BM207" s="155">
        <v>3.50467375772</v>
      </c>
      <c r="BN207" s="155"/>
      <c r="BO207" s="155"/>
      <c r="BP207" s="171"/>
      <c r="BQ207" s="155"/>
      <c r="BR207" s="155">
        <v>42</v>
      </c>
      <c r="BS207" s="167">
        <v>42.305999999999997</v>
      </c>
      <c r="BT207" s="154"/>
      <c r="BU207" s="155"/>
      <c r="BV207" s="155">
        <v>1</v>
      </c>
      <c r="BW207" s="155">
        <v>0.14799999999999999</v>
      </c>
      <c r="BX207" s="159">
        <v>1</v>
      </c>
      <c r="BY207" s="155">
        <v>2.4769999999999999</v>
      </c>
      <c r="BZ207" s="155">
        <v>28</v>
      </c>
      <c r="CA207" s="167">
        <v>3.1440000000000001</v>
      </c>
    </row>
    <row r="208" spans="1:79">
      <c r="A208" s="132"/>
      <c r="B208" s="160" t="s">
        <v>261</v>
      </c>
      <c r="C208" s="134"/>
      <c r="D208" s="135"/>
      <c r="E208" s="136"/>
      <c r="F208" s="137"/>
      <c r="G208" s="137"/>
      <c r="H208" s="137"/>
      <c r="I208" s="137"/>
      <c r="J208" s="137"/>
      <c r="K208" s="138"/>
      <c r="L208" s="139"/>
      <c r="M208" s="140"/>
      <c r="N208" s="154"/>
      <c r="O208" s="155"/>
      <c r="P208" s="155"/>
      <c r="Q208" s="155"/>
      <c r="R208" s="162"/>
      <c r="S208" s="163"/>
      <c r="T208" s="163"/>
      <c r="U208" s="163"/>
      <c r="V208" s="163"/>
      <c r="W208" s="161"/>
      <c r="X208" s="162"/>
      <c r="Y208" s="161"/>
      <c r="Z208" s="162">
        <v>3.9900000000000005E-2</v>
      </c>
      <c r="AA208" s="164">
        <f t="shared" si="19"/>
        <v>9.3140067009600003</v>
      </c>
      <c r="AB208" s="161">
        <v>9.4475967009600001</v>
      </c>
      <c r="AC208" s="162"/>
      <c r="AD208" s="161"/>
      <c r="AE208" s="162"/>
      <c r="AF208" s="161"/>
      <c r="AG208" s="162"/>
      <c r="AH208" s="161"/>
      <c r="AI208" s="162"/>
      <c r="AJ208" s="163"/>
      <c r="AK208" s="162">
        <v>3.0000000000000001E-3</v>
      </c>
      <c r="AL208" s="161">
        <v>1.165450285713</v>
      </c>
      <c r="AM208" s="162"/>
      <c r="AN208" s="161"/>
      <c r="AO208" s="162"/>
      <c r="AP208" s="161"/>
      <c r="AQ208" s="165">
        <v>1</v>
      </c>
      <c r="AR208" s="166">
        <v>2.1208469999999999</v>
      </c>
      <c r="AS208" s="162"/>
      <c r="AT208" s="161"/>
      <c r="AU208" s="162"/>
      <c r="AV208" s="167"/>
      <c r="AW208" s="168"/>
      <c r="AX208" s="168"/>
      <c r="AY208" s="168"/>
      <c r="AZ208" s="162"/>
      <c r="BA208" s="161"/>
      <c r="BB208" s="169"/>
      <c r="BC208" s="170">
        <v>3.228872381</v>
      </c>
      <c r="BD208" s="153">
        <f t="shared" si="17"/>
        <v>72.167284640172994</v>
      </c>
      <c r="BE208" s="154">
        <f t="shared" si="15"/>
        <v>38.583518272500001</v>
      </c>
      <c r="BF208" s="155">
        <f t="shared" si="16"/>
        <v>9.9320000000000004</v>
      </c>
      <c r="BG208" s="149">
        <f t="shared" si="18"/>
        <v>7.6890000000000001</v>
      </c>
      <c r="BH208" s="154"/>
      <c r="BI208" s="155"/>
      <c r="BJ208" s="155">
        <v>3.0000000000000001E-3</v>
      </c>
      <c r="BK208" s="155">
        <v>2.7485182725000001</v>
      </c>
      <c r="BL208" s="155"/>
      <c r="BM208" s="155"/>
      <c r="BN208" s="155">
        <v>8.9999999999999993E-3</v>
      </c>
      <c r="BO208" s="155">
        <v>8.3580000000000005</v>
      </c>
      <c r="BP208" s="171"/>
      <c r="BQ208" s="155"/>
      <c r="BR208" s="155">
        <v>31</v>
      </c>
      <c r="BS208" s="167">
        <v>27.477</v>
      </c>
      <c r="BT208" s="154">
        <v>5.0000000000000001E-3</v>
      </c>
      <c r="BU208" s="155">
        <v>0.39800000000000002</v>
      </c>
      <c r="BV208" s="155">
        <v>2</v>
      </c>
      <c r="BW208" s="155">
        <v>0.47399999999999998</v>
      </c>
      <c r="BX208" s="159">
        <v>1</v>
      </c>
      <c r="BY208" s="155">
        <v>1.371</v>
      </c>
      <c r="BZ208" s="155">
        <v>44</v>
      </c>
      <c r="CA208" s="167">
        <v>7.6890000000000001</v>
      </c>
    </row>
    <row r="209" spans="1:79">
      <c r="A209" s="132"/>
      <c r="B209" s="160" t="s">
        <v>262</v>
      </c>
      <c r="C209" s="134"/>
      <c r="D209" s="135"/>
      <c r="E209" s="136"/>
      <c r="F209" s="137"/>
      <c r="G209" s="137"/>
      <c r="H209" s="137"/>
      <c r="I209" s="137"/>
      <c r="J209" s="137"/>
      <c r="K209" s="138"/>
      <c r="L209" s="139"/>
      <c r="M209" s="140"/>
      <c r="N209" s="154"/>
      <c r="O209" s="155"/>
      <c r="P209" s="155">
        <f>0.006+0.025</f>
        <v>3.1E-2</v>
      </c>
      <c r="Q209" s="155">
        <f>0.543077496+2.263</f>
        <v>2.8060774959999999</v>
      </c>
      <c r="R209" s="162"/>
      <c r="S209" s="163"/>
      <c r="T209" s="163"/>
      <c r="U209" s="163"/>
      <c r="V209" s="163"/>
      <c r="W209" s="161"/>
      <c r="X209" s="162"/>
      <c r="Y209" s="161"/>
      <c r="Z209" s="162">
        <v>2E-3</v>
      </c>
      <c r="AA209" s="164">
        <f t="shared" si="19"/>
        <v>1.0015823143500002</v>
      </c>
      <c r="AB209" s="161">
        <v>1.1351723143500001</v>
      </c>
      <c r="AC209" s="162">
        <v>5.0000000000000001E-4</v>
      </c>
      <c r="AD209" s="161">
        <v>1.1958946000000001</v>
      </c>
      <c r="AE209" s="162"/>
      <c r="AF209" s="161"/>
      <c r="AG209" s="162">
        <v>4.0000000000000001E-3</v>
      </c>
      <c r="AH209" s="161">
        <v>8.6421462802000004</v>
      </c>
      <c r="AI209" s="162"/>
      <c r="AJ209" s="163"/>
      <c r="AK209" s="162"/>
      <c r="AL209" s="161"/>
      <c r="AM209" s="162"/>
      <c r="AN209" s="161"/>
      <c r="AO209" s="162"/>
      <c r="AP209" s="161"/>
      <c r="AQ209" s="165">
        <v>36</v>
      </c>
      <c r="AR209" s="166">
        <v>11.300291991</v>
      </c>
      <c r="AS209" s="162">
        <v>2E-3</v>
      </c>
      <c r="AT209" s="161">
        <v>5.2733639999999999</v>
      </c>
      <c r="AU209" s="162"/>
      <c r="AV209" s="167"/>
      <c r="AW209" s="168"/>
      <c r="AX209" s="168"/>
      <c r="AY209" s="168"/>
      <c r="AZ209" s="162"/>
      <c r="BA209" s="161"/>
      <c r="BB209" s="169"/>
      <c r="BC209" s="170">
        <v>14.452999999999999</v>
      </c>
      <c r="BD209" s="153">
        <f t="shared" si="17"/>
        <v>219.50831765535</v>
      </c>
      <c r="BE209" s="154">
        <f t="shared" si="15"/>
        <v>125.56937097380001</v>
      </c>
      <c r="BF209" s="155">
        <f t="shared" si="16"/>
        <v>34.412000000000006</v>
      </c>
      <c r="BG209" s="149">
        <f t="shared" si="18"/>
        <v>14.721</v>
      </c>
      <c r="BH209" s="154"/>
      <c r="BI209" s="155"/>
      <c r="BJ209" s="155">
        <v>2.1700000000000001E-2</v>
      </c>
      <c r="BK209" s="155">
        <v>20.794813391849999</v>
      </c>
      <c r="BL209" s="155">
        <v>8.6999999999999994E-3</v>
      </c>
      <c r="BM209" s="155">
        <v>6.5015575819499993</v>
      </c>
      <c r="BN209" s="155">
        <v>1.4E-2</v>
      </c>
      <c r="BO209" s="155">
        <v>12.74</v>
      </c>
      <c r="BP209" s="171"/>
      <c r="BQ209" s="155"/>
      <c r="BR209" s="155">
        <v>60</v>
      </c>
      <c r="BS209" s="167">
        <v>85.533000000000001</v>
      </c>
      <c r="BT209" s="154"/>
      <c r="BU209" s="155"/>
      <c r="BV209" s="155">
        <v>4</v>
      </c>
      <c r="BW209" s="155">
        <v>1.1639999999999999</v>
      </c>
      <c r="BX209" s="159">
        <v>9</v>
      </c>
      <c r="BY209" s="155">
        <v>18.527000000000001</v>
      </c>
      <c r="BZ209" s="155">
        <v>106</v>
      </c>
      <c r="CA209" s="167">
        <v>14.721</v>
      </c>
    </row>
    <row r="210" spans="1:79">
      <c r="A210" s="132"/>
      <c r="B210" s="160" t="s">
        <v>263</v>
      </c>
      <c r="C210" s="134"/>
      <c r="D210" s="135"/>
      <c r="E210" s="136"/>
      <c r="F210" s="137"/>
      <c r="G210" s="137"/>
      <c r="H210" s="137"/>
      <c r="I210" s="137"/>
      <c r="J210" s="137"/>
      <c r="K210" s="138"/>
      <c r="L210" s="139"/>
      <c r="M210" s="140"/>
      <c r="N210" s="154"/>
      <c r="O210" s="155"/>
      <c r="P210" s="155"/>
      <c r="Q210" s="155"/>
      <c r="R210" s="162"/>
      <c r="S210" s="163"/>
      <c r="T210" s="163"/>
      <c r="U210" s="163"/>
      <c r="V210" s="163"/>
      <c r="W210" s="161"/>
      <c r="X210" s="162"/>
      <c r="Y210" s="161"/>
      <c r="Z210" s="162">
        <v>7.9399999999999998E-2</v>
      </c>
      <c r="AA210" s="164">
        <f t="shared" si="19"/>
        <v>30.3803219246</v>
      </c>
      <c r="AB210" s="161">
        <v>30.513911924600002</v>
      </c>
      <c r="AC210" s="162"/>
      <c r="AD210" s="161"/>
      <c r="AE210" s="162"/>
      <c r="AF210" s="161"/>
      <c r="AG210" s="162"/>
      <c r="AH210" s="161"/>
      <c r="AI210" s="162"/>
      <c r="AJ210" s="163"/>
      <c r="AK210" s="162"/>
      <c r="AL210" s="161"/>
      <c r="AM210" s="162">
        <v>3</v>
      </c>
      <c r="AN210" s="161">
        <f>5.619075673+1.244</f>
        <v>6.863075673</v>
      </c>
      <c r="AO210" s="162"/>
      <c r="AP210" s="161"/>
      <c r="AQ210" s="165">
        <v>5</v>
      </c>
      <c r="AR210" s="166">
        <v>3.6755272899999998</v>
      </c>
      <c r="AS210" s="162">
        <v>1.0999999999999999E-2</v>
      </c>
      <c r="AT210" s="161">
        <v>34.789746000000001</v>
      </c>
      <c r="AU210" s="162"/>
      <c r="AV210" s="167"/>
      <c r="AW210" s="168"/>
      <c r="AX210" s="168"/>
      <c r="AY210" s="168"/>
      <c r="AZ210" s="162">
        <v>1</v>
      </c>
      <c r="BA210" s="161">
        <v>3.0390000000000001</v>
      </c>
      <c r="BB210" s="169"/>
      <c r="BC210" s="170">
        <v>31.712</v>
      </c>
      <c r="BD210" s="153">
        <f t="shared" si="17"/>
        <v>234.56076463759999</v>
      </c>
      <c r="BE210" s="154">
        <f t="shared" si="15"/>
        <v>95.93050375</v>
      </c>
      <c r="BF210" s="155">
        <f t="shared" si="16"/>
        <v>19.047000000000001</v>
      </c>
      <c r="BG210" s="149">
        <f t="shared" si="18"/>
        <v>8.99</v>
      </c>
      <c r="BH210" s="154"/>
      <c r="BI210" s="155"/>
      <c r="BJ210" s="155">
        <v>4.4999999999999997E-3</v>
      </c>
      <c r="BK210" s="155">
        <v>5.0991074999999997</v>
      </c>
      <c r="BL210" s="155">
        <v>4.0000000000000001E-3</v>
      </c>
      <c r="BM210" s="155">
        <v>3.2443962499999999</v>
      </c>
      <c r="BN210" s="155">
        <v>0.01</v>
      </c>
      <c r="BO210" s="155">
        <v>5.944</v>
      </c>
      <c r="BP210" s="171"/>
      <c r="BQ210" s="155"/>
      <c r="BR210" s="155">
        <v>60</v>
      </c>
      <c r="BS210" s="167">
        <v>81.643000000000001</v>
      </c>
      <c r="BT210" s="154">
        <v>3.0000000000000001E-3</v>
      </c>
      <c r="BU210" s="155">
        <v>0.64900000000000002</v>
      </c>
      <c r="BV210" s="155">
        <v>3</v>
      </c>
      <c r="BW210" s="155">
        <v>0.73299999999999998</v>
      </c>
      <c r="BX210" s="159">
        <v>5</v>
      </c>
      <c r="BY210" s="155">
        <v>8.6750000000000007</v>
      </c>
      <c r="BZ210" s="155">
        <v>51</v>
      </c>
      <c r="CA210" s="167">
        <v>8.99</v>
      </c>
    </row>
    <row r="211" spans="1:79">
      <c r="A211" s="132"/>
      <c r="B211" s="160" t="s">
        <v>264</v>
      </c>
      <c r="C211" s="134"/>
      <c r="D211" s="135"/>
      <c r="E211" s="136"/>
      <c r="F211" s="137"/>
      <c r="G211" s="137"/>
      <c r="H211" s="137"/>
      <c r="I211" s="137"/>
      <c r="J211" s="137"/>
      <c r="K211" s="138"/>
      <c r="L211" s="139"/>
      <c r="M211" s="140"/>
      <c r="N211" s="154"/>
      <c r="O211" s="155"/>
      <c r="P211" s="155"/>
      <c r="Q211" s="155"/>
      <c r="R211" s="162"/>
      <c r="S211" s="163"/>
      <c r="T211" s="163"/>
      <c r="U211" s="163"/>
      <c r="V211" s="163"/>
      <c r="W211" s="161"/>
      <c r="X211" s="162"/>
      <c r="Y211" s="161"/>
      <c r="Z211" s="162"/>
      <c r="AA211" s="164"/>
      <c r="AB211" s="161"/>
      <c r="AC211" s="162"/>
      <c r="AD211" s="161"/>
      <c r="AE211" s="162"/>
      <c r="AF211" s="161"/>
      <c r="AG211" s="162"/>
      <c r="AH211" s="161"/>
      <c r="AI211" s="162"/>
      <c r="AJ211" s="163"/>
      <c r="AK211" s="162"/>
      <c r="AL211" s="161"/>
      <c r="AM211" s="162">
        <v>1</v>
      </c>
      <c r="AN211" s="161">
        <v>1.922123633</v>
      </c>
      <c r="AO211" s="162"/>
      <c r="AP211" s="161"/>
      <c r="AQ211" s="165">
        <v>6</v>
      </c>
      <c r="AR211" s="166">
        <v>2.3376135479999998</v>
      </c>
      <c r="AS211" s="162"/>
      <c r="AT211" s="161"/>
      <c r="AU211" s="162"/>
      <c r="AV211" s="167"/>
      <c r="AW211" s="168"/>
      <c r="AX211" s="168"/>
      <c r="AY211" s="168"/>
      <c r="AZ211" s="162"/>
      <c r="BA211" s="161"/>
      <c r="BB211" s="169"/>
      <c r="BC211" s="170">
        <v>24.951000000000001</v>
      </c>
      <c r="BD211" s="153">
        <f t="shared" si="17"/>
        <v>141.0946062724</v>
      </c>
      <c r="BE211" s="154">
        <f t="shared" si="15"/>
        <v>69.188869091399994</v>
      </c>
      <c r="BF211" s="155">
        <f t="shared" si="16"/>
        <v>27.257999999999999</v>
      </c>
      <c r="BG211" s="149">
        <f t="shared" si="18"/>
        <v>15.436999999999999</v>
      </c>
      <c r="BH211" s="154">
        <v>6.0000000000000001E-3</v>
      </c>
      <c r="BI211" s="155">
        <v>6.5551117259999998</v>
      </c>
      <c r="BJ211" s="155">
        <v>1.4999999999999999E-2</v>
      </c>
      <c r="BK211" s="155">
        <v>10.496757365400001</v>
      </c>
      <c r="BL211" s="155"/>
      <c r="BM211" s="155"/>
      <c r="BN211" s="155">
        <v>2.4E-2</v>
      </c>
      <c r="BO211" s="155">
        <v>19.959</v>
      </c>
      <c r="BP211" s="171"/>
      <c r="BQ211" s="155"/>
      <c r="BR211" s="155">
        <v>27</v>
      </c>
      <c r="BS211" s="167">
        <v>32.177999999999997</v>
      </c>
      <c r="BT211" s="154">
        <v>0.02</v>
      </c>
      <c r="BU211" s="155">
        <v>5.1459999999999999</v>
      </c>
      <c r="BV211" s="155">
        <v>5</v>
      </c>
      <c r="BW211" s="155">
        <v>1.296</v>
      </c>
      <c r="BX211" s="159">
        <v>2</v>
      </c>
      <c r="BY211" s="155">
        <v>5.3789999999999996</v>
      </c>
      <c r="BZ211" s="155">
        <v>97</v>
      </c>
      <c r="CA211" s="167">
        <v>15.436999999999999</v>
      </c>
    </row>
    <row r="212" spans="1:79" ht="16.5" thickBot="1">
      <c r="A212" s="132"/>
      <c r="B212" s="189" t="s">
        <v>265</v>
      </c>
      <c r="C212" s="134"/>
      <c r="D212" s="135"/>
      <c r="E212" s="136"/>
      <c r="F212" s="137"/>
      <c r="G212" s="137"/>
      <c r="H212" s="137"/>
      <c r="I212" s="137"/>
      <c r="J212" s="137"/>
      <c r="K212" s="138"/>
      <c r="L212" s="139"/>
      <c r="M212" s="140"/>
      <c r="N212" s="190"/>
      <c r="O212" s="159"/>
      <c r="P212" s="159"/>
      <c r="Q212" s="159"/>
      <c r="R212" s="192">
        <v>1</v>
      </c>
      <c r="S212" s="193">
        <v>0.24343189000000001</v>
      </c>
      <c r="T212" s="193">
        <v>21.5</v>
      </c>
      <c r="U212" s="193">
        <v>1.5167454</v>
      </c>
      <c r="V212" s="193"/>
      <c r="W212" s="191"/>
      <c r="X212" s="192"/>
      <c r="Y212" s="191"/>
      <c r="Z212" s="192"/>
      <c r="AA212" s="194"/>
      <c r="AB212" s="191"/>
      <c r="AC212" s="192"/>
      <c r="AD212" s="191"/>
      <c r="AE212" s="192"/>
      <c r="AF212" s="191"/>
      <c r="AG212" s="192"/>
      <c r="AH212" s="191"/>
      <c r="AI212" s="192"/>
      <c r="AJ212" s="193"/>
      <c r="AK212" s="192"/>
      <c r="AL212" s="191"/>
      <c r="AM212" s="192"/>
      <c r="AN212" s="191"/>
      <c r="AO212" s="192"/>
      <c r="AP212" s="191"/>
      <c r="AQ212" s="195"/>
      <c r="AR212" s="196"/>
      <c r="AS212" s="192"/>
      <c r="AT212" s="191"/>
      <c r="AU212" s="192"/>
      <c r="AV212" s="197"/>
      <c r="AW212" s="198"/>
      <c r="AX212" s="198"/>
      <c r="AY212" s="198"/>
      <c r="AZ212" s="192"/>
      <c r="BA212" s="191"/>
      <c r="BB212" s="199"/>
      <c r="BC212" s="200"/>
      <c r="BD212" s="153">
        <f t="shared" si="17"/>
        <v>66.526189927199994</v>
      </c>
      <c r="BE212" s="190">
        <f t="shared" si="15"/>
        <v>43.5340126372</v>
      </c>
      <c r="BF212" s="159">
        <f t="shared" si="16"/>
        <v>12.231999999999999</v>
      </c>
      <c r="BG212" s="149">
        <f t="shared" si="18"/>
        <v>9</v>
      </c>
      <c r="BH212" s="190"/>
      <c r="BI212" s="159"/>
      <c r="BJ212" s="159">
        <v>2E-3</v>
      </c>
      <c r="BK212" s="159">
        <v>1.8323455150000001</v>
      </c>
      <c r="BL212" s="159">
        <v>1.5E-3</v>
      </c>
      <c r="BM212" s="159">
        <v>1.1926671222</v>
      </c>
      <c r="BN212" s="159">
        <v>2E-3</v>
      </c>
      <c r="BO212" s="159">
        <v>1.536</v>
      </c>
      <c r="BP212" s="201"/>
      <c r="BQ212" s="159"/>
      <c r="BR212" s="159">
        <v>41</v>
      </c>
      <c r="BS212" s="197">
        <v>38.972999999999999</v>
      </c>
      <c r="BT212" s="190">
        <v>0.03</v>
      </c>
      <c r="BU212" s="159">
        <v>2.3889999999999998</v>
      </c>
      <c r="BV212" s="159">
        <v>4</v>
      </c>
      <c r="BW212" s="159">
        <v>0.84299999999999997</v>
      </c>
      <c r="BX212" s="159"/>
      <c r="BY212" s="159"/>
      <c r="BZ212" s="159">
        <v>24</v>
      </c>
      <c r="CA212" s="197">
        <v>9</v>
      </c>
    </row>
    <row r="213" spans="1:79" ht="16.5" thickBot="1">
      <c r="A213" s="202" t="s">
        <v>266</v>
      </c>
      <c r="B213" s="203"/>
      <c r="C213" s="204"/>
      <c r="D213" s="205"/>
      <c r="E213" s="206" t="e">
        <f>SUM(#REF!)</f>
        <v>#REF!</v>
      </c>
      <c r="F213" s="207" t="e">
        <f>SUM(#REF!)</f>
        <v>#REF!</v>
      </c>
      <c r="G213" s="207" t="e">
        <f>SUM(#REF!)</f>
        <v>#REF!</v>
      </c>
      <c r="H213" s="207" t="e">
        <f>SUM(#REF!)</f>
        <v>#REF!</v>
      </c>
      <c r="I213" s="207" t="e">
        <f>SUM(#REF!)</f>
        <v>#REF!</v>
      </c>
      <c r="J213" s="207" t="e">
        <f>SUM(#REF!)</f>
        <v>#REF!</v>
      </c>
      <c r="K213" s="207" t="e">
        <f>SUM(#REF!)</f>
        <v>#REF!</v>
      </c>
      <c r="L213" s="114"/>
      <c r="M213" s="208" t="e">
        <f>SUM(#REF!)</f>
        <v>#REF!</v>
      </c>
      <c r="N213" s="209">
        <f t="shared" ref="N213:BU213" si="20">SUM(N8:N212)</f>
        <v>1.2215</v>
      </c>
      <c r="O213" s="211">
        <f t="shared" si="20"/>
        <v>480.07726321487002</v>
      </c>
      <c r="P213" s="211">
        <f t="shared" si="20"/>
        <v>1.3917999999999995</v>
      </c>
      <c r="Q213" s="211">
        <f t="shared" si="20"/>
        <v>787.00260127632009</v>
      </c>
      <c r="R213" s="209">
        <f t="shared" si="20"/>
        <v>114</v>
      </c>
      <c r="S213" s="211">
        <f t="shared" si="20"/>
        <v>18.924110413000005</v>
      </c>
      <c r="T213" s="211">
        <f t="shared" si="20"/>
        <v>903</v>
      </c>
      <c r="U213" s="211">
        <f t="shared" si="20"/>
        <v>212.99241286114002</v>
      </c>
      <c r="V213" s="211">
        <f t="shared" si="20"/>
        <v>0.10769999999999999</v>
      </c>
      <c r="W213" s="210">
        <f t="shared" si="20"/>
        <v>230.37728000000001</v>
      </c>
      <c r="X213" s="209">
        <f t="shared" si="20"/>
        <v>6.1383000000000019</v>
      </c>
      <c r="Y213" s="210">
        <f t="shared" si="20"/>
        <v>1634.01035349327</v>
      </c>
      <c r="Z213" s="209">
        <f t="shared" si="20"/>
        <v>6.856499999999996</v>
      </c>
      <c r="AA213" s="209">
        <f t="shared" si="20"/>
        <v>1989.8526597957402</v>
      </c>
      <c r="AB213" s="210">
        <f t="shared" si="20"/>
        <v>2006.8592675830896</v>
      </c>
      <c r="AC213" s="209">
        <f t="shared" si="20"/>
        <v>6.2137999999999982</v>
      </c>
      <c r="AD213" s="210">
        <f t="shared" si="20"/>
        <v>8503.5300681012577</v>
      </c>
      <c r="AE213" s="209">
        <f t="shared" si="20"/>
        <v>1.50526</v>
      </c>
      <c r="AF213" s="210">
        <f t="shared" si="20"/>
        <v>450.20805385569798</v>
      </c>
      <c r="AG213" s="209">
        <f t="shared" si="20"/>
        <v>0.25217500000000004</v>
      </c>
      <c r="AH213" s="210">
        <f t="shared" si="20"/>
        <v>476.41030097122263</v>
      </c>
      <c r="AI213" s="209">
        <f t="shared" si="20"/>
        <v>316</v>
      </c>
      <c r="AJ213" s="211">
        <f t="shared" si="20"/>
        <v>206.32104180499999</v>
      </c>
      <c r="AK213" s="209">
        <f t="shared" si="20"/>
        <v>0.22919999999999999</v>
      </c>
      <c r="AL213" s="210">
        <f t="shared" si="20"/>
        <v>231.04874412534804</v>
      </c>
      <c r="AM213" s="209">
        <f t="shared" si="20"/>
        <v>193</v>
      </c>
      <c r="AN213" s="210">
        <f t="shared" si="20"/>
        <v>596.55692790299997</v>
      </c>
      <c r="AO213" s="209">
        <f t="shared" si="20"/>
        <v>62</v>
      </c>
      <c r="AP213" s="210">
        <f t="shared" si="20"/>
        <v>680.61940633199993</v>
      </c>
      <c r="AQ213" s="209">
        <f t="shared" si="20"/>
        <v>1588</v>
      </c>
      <c r="AR213" s="210">
        <f>SUM(AR8:AR212)</f>
        <v>2211.4683746924998</v>
      </c>
      <c r="AS213" s="209">
        <f t="shared" si="20"/>
        <v>0.64971000000000012</v>
      </c>
      <c r="AT213" s="210">
        <f t="shared" si="20"/>
        <v>1550.5636285453697</v>
      </c>
      <c r="AU213" s="209">
        <f>SUM(AU8:AU212)</f>
        <v>214.45867428599999</v>
      </c>
      <c r="AV213" s="210">
        <f t="shared" si="20"/>
        <v>0</v>
      </c>
      <c r="AW213" s="212">
        <f t="shared" si="20"/>
        <v>0</v>
      </c>
      <c r="AX213" s="212">
        <f t="shared" si="20"/>
        <v>15</v>
      </c>
      <c r="AY213" s="212">
        <f t="shared" si="20"/>
        <v>160.28015402520001</v>
      </c>
      <c r="AZ213" s="209">
        <f t="shared" si="20"/>
        <v>51</v>
      </c>
      <c r="BA213" s="210">
        <f t="shared" si="20"/>
        <v>369.34458604599996</v>
      </c>
      <c r="BB213" s="212">
        <f t="shared" si="20"/>
        <v>22.010999999999999</v>
      </c>
      <c r="BC213" s="213">
        <f t="shared" si="20"/>
        <v>2044.2802968865713</v>
      </c>
      <c r="BD213" s="214">
        <f t="shared" si="20"/>
        <v>40009.252949899514</v>
      </c>
      <c r="BE213" s="209">
        <f t="shared" si="20"/>
        <v>9507.5674034826716</v>
      </c>
      <c r="BF213" s="211">
        <f t="shared" si="20"/>
        <v>5249.8869999999988</v>
      </c>
      <c r="BG213" s="210">
        <f t="shared" si="20"/>
        <v>2164.4539999999997</v>
      </c>
      <c r="BH213" s="209">
        <f t="shared" si="20"/>
        <v>0.18960000000000007</v>
      </c>
      <c r="BI213" s="211">
        <f t="shared" si="20"/>
        <v>196.85213880978</v>
      </c>
      <c r="BJ213" s="215">
        <f t="shared" si="20"/>
        <v>0.87123000000000006</v>
      </c>
      <c r="BK213" s="215">
        <f t="shared" si="20"/>
        <v>840.05738382678032</v>
      </c>
      <c r="BL213" s="215">
        <f t="shared" si="20"/>
        <v>0.83621999999999996</v>
      </c>
      <c r="BM213" s="215">
        <f t="shared" si="20"/>
        <v>840.96867690100987</v>
      </c>
      <c r="BN213" s="211">
        <f>SUM(BN8:BN212)</f>
        <v>0.87800000000000045</v>
      </c>
      <c r="BO213" s="211">
        <f>SUM(BO8:BO212)</f>
        <v>729.26499999999987</v>
      </c>
      <c r="BP213" s="216">
        <f t="shared" si="20"/>
        <v>48</v>
      </c>
      <c r="BQ213" s="211">
        <f t="shared" si="20"/>
        <v>108.57712619899998</v>
      </c>
      <c r="BR213" s="211">
        <f t="shared" si="20"/>
        <v>5476</v>
      </c>
      <c r="BS213" s="210">
        <f t="shared" si="20"/>
        <v>6786.4639999999999</v>
      </c>
      <c r="BT213" s="209">
        <f t="shared" si="20"/>
        <v>4.4209999999999994</v>
      </c>
      <c r="BU213" s="211">
        <f t="shared" si="20"/>
        <v>1579.394</v>
      </c>
      <c r="BV213" s="211">
        <f t="shared" ref="BV213:CA213" si="21">SUM(BV8:BV212)</f>
        <v>608</v>
      </c>
      <c r="BW213" s="211">
        <f t="shared" si="21"/>
        <v>528.70200000000011</v>
      </c>
      <c r="BX213" s="211">
        <f t="shared" si="21"/>
        <v>460</v>
      </c>
      <c r="BY213" s="211">
        <f t="shared" si="21"/>
        <v>977.33699999999999</v>
      </c>
      <c r="BZ213" s="211">
        <f t="shared" si="21"/>
        <v>13261</v>
      </c>
      <c r="CA213" s="210">
        <f t="shared" si="21"/>
        <v>2164.4539999999997</v>
      </c>
    </row>
    <row r="214" spans="1:79">
      <c r="BM214" s="7"/>
      <c r="BQ214" s="5"/>
      <c r="BU214" s="217"/>
      <c r="BV214" s="217"/>
      <c r="BW214" s="217"/>
    </row>
    <row r="215" spans="1:79">
      <c r="BQ215" s="5"/>
    </row>
    <row r="216" spans="1:79">
      <c r="O216" s="5"/>
      <c r="BL216" s="218"/>
      <c r="BM216" s="218"/>
      <c r="BU216" s="218"/>
      <c r="BV216" s="218"/>
    </row>
    <row r="217" spans="1:79">
      <c r="BU217" s="219"/>
      <c r="BV217" s="219"/>
    </row>
  </sheetData>
  <mergeCells count="55">
    <mergeCell ref="A213:B213"/>
    <mergeCell ref="BL216:BM216"/>
    <mergeCell ref="BU216:BV216"/>
    <mergeCell ref="BU217:BV217"/>
    <mergeCell ref="BV4:BW5"/>
    <mergeCell ref="BX4:BY5"/>
    <mergeCell ref="BZ4:CA5"/>
    <mergeCell ref="N5:O5"/>
    <mergeCell ref="P5:Q5"/>
    <mergeCell ref="R5:S5"/>
    <mergeCell ref="T5:U5"/>
    <mergeCell ref="V5:W5"/>
    <mergeCell ref="BJ4:BK5"/>
    <mergeCell ref="BL4:BM5"/>
    <mergeCell ref="BN4:BO5"/>
    <mergeCell ref="BP4:BQ5"/>
    <mergeCell ref="BR4:BS5"/>
    <mergeCell ref="BT4:BU5"/>
    <mergeCell ref="BD4:BD5"/>
    <mergeCell ref="BE4:BE5"/>
    <mergeCell ref="BF4:BF5"/>
    <mergeCell ref="BG4:BG5"/>
    <mergeCell ref="BH4:BI5"/>
    <mergeCell ref="AW4:AW5"/>
    <mergeCell ref="AX4:AY5"/>
    <mergeCell ref="AZ4:BA5"/>
    <mergeCell ref="BB4:BB5"/>
    <mergeCell ref="BC4:BC5"/>
    <mergeCell ref="AM4:AN5"/>
    <mergeCell ref="AO4:AP5"/>
    <mergeCell ref="AQ4:AR5"/>
    <mergeCell ref="AS4:AT5"/>
    <mergeCell ref="AU4:AU5"/>
    <mergeCell ref="AV4:AV5"/>
    <mergeCell ref="AC4:AD5"/>
    <mergeCell ref="AE4:AF5"/>
    <mergeCell ref="AG4:AH5"/>
    <mergeCell ref="AI4:AJ5"/>
    <mergeCell ref="AK4:AL5"/>
    <mergeCell ref="N4:Q4"/>
    <mergeCell ref="R4:W4"/>
    <mergeCell ref="X4:Y5"/>
    <mergeCell ref="Z4:AB5"/>
    <mergeCell ref="F4:F5"/>
    <mergeCell ref="G4:G5"/>
    <mergeCell ref="J4:J5"/>
    <mergeCell ref="K4:K5"/>
    <mergeCell ref="L4:L5"/>
    <mergeCell ref="M4:M5"/>
    <mergeCell ref="B3:D3"/>
    <mergeCell ref="A4:A5"/>
    <mergeCell ref="B4:B5"/>
    <mergeCell ref="C4:C5"/>
    <mergeCell ref="D4:D5"/>
    <mergeCell ref="E4:E5"/>
  </mergeCells>
  <dataValidations count="1">
    <dataValidation type="custom" allowBlank="1" showInputMessage="1" showErrorMessage="1" errorTitle="Ошибка!" error="Округлите до целых!" sqref="K65498:K65534 JV65498:JV65534 TR65498:TR65534 ADN65498:ADN65534 ANJ65498:ANJ65534 AXF65498:AXF65534 BHB65498:BHB65534 BQX65498:BQX65534 CAT65498:CAT65534 CKP65498:CKP65534 CUL65498:CUL65534 DEH65498:DEH65534 DOD65498:DOD65534 DXZ65498:DXZ65534 EHV65498:EHV65534 ERR65498:ERR65534 FBN65498:FBN65534 FLJ65498:FLJ65534 FVF65498:FVF65534 GFB65498:GFB65534 GOX65498:GOX65534 GYT65498:GYT65534 HIP65498:HIP65534 HSL65498:HSL65534 ICH65498:ICH65534 IMD65498:IMD65534 IVZ65498:IVZ65534 JFV65498:JFV65534 JPR65498:JPR65534 JZN65498:JZN65534 KJJ65498:KJJ65534 KTF65498:KTF65534 LDB65498:LDB65534 LMX65498:LMX65534 LWT65498:LWT65534 MGP65498:MGP65534 MQL65498:MQL65534 NAH65498:NAH65534 NKD65498:NKD65534 NTZ65498:NTZ65534 ODV65498:ODV65534 ONR65498:ONR65534 OXN65498:OXN65534 PHJ65498:PHJ65534 PRF65498:PRF65534 QBB65498:QBB65534 QKX65498:QKX65534 QUT65498:QUT65534 REP65498:REP65534 ROL65498:ROL65534 RYH65498:RYH65534 SID65498:SID65534 SRZ65498:SRZ65534 TBV65498:TBV65534 TLR65498:TLR65534 TVN65498:TVN65534 UFJ65498:UFJ65534 UPF65498:UPF65534 UZB65498:UZB65534 VIX65498:VIX65534 VST65498:VST65534 WCP65498:WCP65534 WML65498:WML65534 WWH65498:WWH65534 K131034:K131070 JV131034:JV131070 TR131034:TR131070 ADN131034:ADN131070 ANJ131034:ANJ131070 AXF131034:AXF131070 BHB131034:BHB131070 BQX131034:BQX131070 CAT131034:CAT131070 CKP131034:CKP131070 CUL131034:CUL131070 DEH131034:DEH131070 DOD131034:DOD131070 DXZ131034:DXZ131070 EHV131034:EHV131070 ERR131034:ERR131070 FBN131034:FBN131070 FLJ131034:FLJ131070 FVF131034:FVF131070 GFB131034:GFB131070 GOX131034:GOX131070 GYT131034:GYT131070 HIP131034:HIP131070 HSL131034:HSL131070 ICH131034:ICH131070 IMD131034:IMD131070 IVZ131034:IVZ131070 JFV131034:JFV131070 JPR131034:JPR131070 JZN131034:JZN131070 KJJ131034:KJJ131070 KTF131034:KTF131070 LDB131034:LDB131070 LMX131034:LMX131070 LWT131034:LWT131070 MGP131034:MGP131070 MQL131034:MQL131070 NAH131034:NAH131070 NKD131034:NKD131070 NTZ131034:NTZ131070 ODV131034:ODV131070 ONR131034:ONR131070 OXN131034:OXN131070 PHJ131034:PHJ131070 PRF131034:PRF131070 QBB131034:QBB131070 QKX131034:QKX131070 QUT131034:QUT131070 REP131034:REP131070 ROL131034:ROL131070 RYH131034:RYH131070 SID131034:SID131070 SRZ131034:SRZ131070 TBV131034:TBV131070 TLR131034:TLR131070 TVN131034:TVN131070 UFJ131034:UFJ131070 UPF131034:UPF131070 UZB131034:UZB131070 VIX131034:VIX131070 VST131034:VST131070 WCP131034:WCP131070 WML131034:WML131070 WWH131034:WWH131070 K196570:K196606 JV196570:JV196606 TR196570:TR196606 ADN196570:ADN196606 ANJ196570:ANJ196606 AXF196570:AXF196606 BHB196570:BHB196606 BQX196570:BQX196606 CAT196570:CAT196606 CKP196570:CKP196606 CUL196570:CUL196606 DEH196570:DEH196606 DOD196570:DOD196606 DXZ196570:DXZ196606 EHV196570:EHV196606 ERR196570:ERR196606 FBN196570:FBN196606 FLJ196570:FLJ196606 FVF196570:FVF196606 GFB196570:GFB196606 GOX196570:GOX196606 GYT196570:GYT196606 HIP196570:HIP196606 HSL196570:HSL196606 ICH196570:ICH196606 IMD196570:IMD196606 IVZ196570:IVZ196606 JFV196570:JFV196606 JPR196570:JPR196606 JZN196570:JZN196606 KJJ196570:KJJ196606 KTF196570:KTF196606 LDB196570:LDB196606 LMX196570:LMX196606 LWT196570:LWT196606 MGP196570:MGP196606 MQL196570:MQL196606 NAH196570:NAH196606 NKD196570:NKD196606 NTZ196570:NTZ196606 ODV196570:ODV196606 ONR196570:ONR196606 OXN196570:OXN196606 PHJ196570:PHJ196606 PRF196570:PRF196606 QBB196570:QBB196606 QKX196570:QKX196606 QUT196570:QUT196606 REP196570:REP196606 ROL196570:ROL196606 RYH196570:RYH196606 SID196570:SID196606 SRZ196570:SRZ196606 TBV196570:TBV196606 TLR196570:TLR196606 TVN196570:TVN196606 UFJ196570:UFJ196606 UPF196570:UPF196606 UZB196570:UZB196606 VIX196570:VIX196606 VST196570:VST196606 WCP196570:WCP196606 WML196570:WML196606 WWH196570:WWH196606 K262106:K262142 JV262106:JV262142 TR262106:TR262142 ADN262106:ADN262142 ANJ262106:ANJ262142 AXF262106:AXF262142 BHB262106:BHB262142 BQX262106:BQX262142 CAT262106:CAT262142 CKP262106:CKP262142 CUL262106:CUL262142 DEH262106:DEH262142 DOD262106:DOD262142 DXZ262106:DXZ262142 EHV262106:EHV262142 ERR262106:ERR262142 FBN262106:FBN262142 FLJ262106:FLJ262142 FVF262106:FVF262142 GFB262106:GFB262142 GOX262106:GOX262142 GYT262106:GYT262142 HIP262106:HIP262142 HSL262106:HSL262142 ICH262106:ICH262142 IMD262106:IMD262142 IVZ262106:IVZ262142 JFV262106:JFV262142 JPR262106:JPR262142 JZN262106:JZN262142 KJJ262106:KJJ262142 KTF262106:KTF262142 LDB262106:LDB262142 LMX262106:LMX262142 LWT262106:LWT262142 MGP262106:MGP262142 MQL262106:MQL262142 NAH262106:NAH262142 NKD262106:NKD262142 NTZ262106:NTZ262142 ODV262106:ODV262142 ONR262106:ONR262142 OXN262106:OXN262142 PHJ262106:PHJ262142 PRF262106:PRF262142 QBB262106:QBB262142 QKX262106:QKX262142 QUT262106:QUT262142 REP262106:REP262142 ROL262106:ROL262142 RYH262106:RYH262142 SID262106:SID262142 SRZ262106:SRZ262142 TBV262106:TBV262142 TLR262106:TLR262142 TVN262106:TVN262142 UFJ262106:UFJ262142 UPF262106:UPF262142 UZB262106:UZB262142 VIX262106:VIX262142 VST262106:VST262142 WCP262106:WCP262142 WML262106:WML262142 WWH262106:WWH262142 K327642:K327678 JV327642:JV327678 TR327642:TR327678 ADN327642:ADN327678 ANJ327642:ANJ327678 AXF327642:AXF327678 BHB327642:BHB327678 BQX327642:BQX327678 CAT327642:CAT327678 CKP327642:CKP327678 CUL327642:CUL327678 DEH327642:DEH327678 DOD327642:DOD327678 DXZ327642:DXZ327678 EHV327642:EHV327678 ERR327642:ERR327678 FBN327642:FBN327678 FLJ327642:FLJ327678 FVF327642:FVF327678 GFB327642:GFB327678 GOX327642:GOX327678 GYT327642:GYT327678 HIP327642:HIP327678 HSL327642:HSL327678 ICH327642:ICH327678 IMD327642:IMD327678 IVZ327642:IVZ327678 JFV327642:JFV327678 JPR327642:JPR327678 JZN327642:JZN327678 KJJ327642:KJJ327678 KTF327642:KTF327678 LDB327642:LDB327678 LMX327642:LMX327678 LWT327642:LWT327678 MGP327642:MGP327678 MQL327642:MQL327678 NAH327642:NAH327678 NKD327642:NKD327678 NTZ327642:NTZ327678 ODV327642:ODV327678 ONR327642:ONR327678 OXN327642:OXN327678 PHJ327642:PHJ327678 PRF327642:PRF327678 QBB327642:QBB327678 QKX327642:QKX327678 QUT327642:QUT327678 REP327642:REP327678 ROL327642:ROL327678 RYH327642:RYH327678 SID327642:SID327678 SRZ327642:SRZ327678 TBV327642:TBV327678 TLR327642:TLR327678 TVN327642:TVN327678 UFJ327642:UFJ327678 UPF327642:UPF327678 UZB327642:UZB327678 VIX327642:VIX327678 VST327642:VST327678 WCP327642:WCP327678 WML327642:WML327678 WWH327642:WWH327678 K393178:K393214 JV393178:JV393214 TR393178:TR393214 ADN393178:ADN393214 ANJ393178:ANJ393214 AXF393178:AXF393214 BHB393178:BHB393214 BQX393178:BQX393214 CAT393178:CAT393214 CKP393178:CKP393214 CUL393178:CUL393214 DEH393178:DEH393214 DOD393178:DOD393214 DXZ393178:DXZ393214 EHV393178:EHV393214 ERR393178:ERR393214 FBN393178:FBN393214 FLJ393178:FLJ393214 FVF393178:FVF393214 GFB393178:GFB393214 GOX393178:GOX393214 GYT393178:GYT393214 HIP393178:HIP393214 HSL393178:HSL393214 ICH393178:ICH393214 IMD393178:IMD393214 IVZ393178:IVZ393214 JFV393178:JFV393214 JPR393178:JPR393214 JZN393178:JZN393214 KJJ393178:KJJ393214 KTF393178:KTF393214 LDB393178:LDB393214 LMX393178:LMX393214 LWT393178:LWT393214 MGP393178:MGP393214 MQL393178:MQL393214 NAH393178:NAH393214 NKD393178:NKD393214 NTZ393178:NTZ393214 ODV393178:ODV393214 ONR393178:ONR393214 OXN393178:OXN393214 PHJ393178:PHJ393214 PRF393178:PRF393214 QBB393178:QBB393214 QKX393178:QKX393214 QUT393178:QUT393214 REP393178:REP393214 ROL393178:ROL393214 RYH393178:RYH393214 SID393178:SID393214 SRZ393178:SRZ393214 TBV393178:TBV393214 TLR393178:TLR393214 TVN393178:TVN393214 UFJ393178:UFJ393214 UPF393178:UPF393214 UZB393178:UZB393214 VIX393178:VIX393214 VST393178:VST393214 WCP393178:WCP393214 WML393178:WML393214 WWH393178:WWH393214 K458714:K458750 JV458714:JV458750 TR458714:TR458750 ADN458714:ADN458750 ANJ458714:ANJ458750 AXF458714:AXF458750 BHB458714:BHB458750 BQX458714:BQX458750 CAT458714:CAT458750 CKP458714:CKP458750 CUL458714:CUL458750 DEH458714:DEH458750 DOD458714:DOD458750 DXZ458714:DXZ458750 EHV458714:EHV458750 ERR458714:ERR458750 FBN458714:FBN458750 FLJ458714:FLJ458750 FVF458714:FVF458750 GFB458714:GFB458750 GOX458714:GOX458750 GYT458714:GYT458750 HIP458714:HIP458750 HSL458714:HSL458750 ICH458714:ICH458750 IMD458714:IMD458750 IVZ458714:IVZ458750 JFV458714:JFV458750 JPR458714:JPR458750 JZN458714:JZN458750 KJJ458714:KJJ458750 KTF458714:KTF458750 LDB458714:LDB458750 LMX458714:LMX458750 LWT458714:LWT458750 MGP458714:MGP458750 MQL458714:MQL458750 NAH458714:NAH458750 NKD458714:NKD458750 NTZ458714:NTZ458750 ODV458714:ODV458750 ONR458714:ONR458750 OXN458714:OXN458750 PHJ458714:PHJ458750 PRF458714:PRF458750 QBB458714:QBB458750 QKX458714:QKX458750 QUT458714:QUT458750 REP458714:REP458750 ROL458714:ROL458750 RYH458714:RYH458750 SID458714:SID458750 SRZ458714:SRZ458750 TBV458714:TBV458750 TLR458714:TLR458750 TVN458714:TVN458750 UFJ458714:UFJ458750 UPF458714:UPF458750 UZB458714:UZB458750 VIX458714:VIX458750 VST458714:VST458750 WCP458714:WCP458750 WML458714:WML458750 WWH458714:WWH458750 K524250:K524286 JV524250:JV524286 TR524250:TR524286 ADN524250:ADN524286 ANJ524250:ANJ524286 AXF524250:AXF524286 BHB524250:BHB524286 BQX524250:BQX524286 CAT524250:CAT524286 CKP524250:CKP524286 CUL524250:CUL524286 DEH524250:DEH524286 DOD524250:DOD524286 DXZ524250:DXZ524286 EHV524250:EHV524286 ERR524250:ERR524286 FBN524250:FBN524286 FLJ524250:FLJ524286 FVF524250:FVF524286 GFB524250:GFB524286 GOX524250:GOX524286 GYT524250:GYT524286 HIP524250:HIP524286 HSL524250:HSL524286 ICH524250:ICH524286 IMD524250:IMD524286 IVZ524250:IVZ524286 JFV524250:JFV524286 JPR524250:JPR524286 JZN524250:JZN524286 KJJ524250:KJJ524286 KTF524250:KTF524286 LDB524250:LDB524286 LMX524250:LMX524286 LWT524250:LWT524286 MGP524250:MGP524286 MQL524250:MQL524286 NAH524250:NAH524286 NKD524250:NKD524286 NTZ524250:NTZ524286 ODV524250:ODV524286 ONR524250:ONR524286 OXN524250:OXN524286 PHJ524250:PHJ524286 PRF524250:PRF524286 QBB524250:QBB524286 QKX524250:QKX524286 QUT524250:QUT524286 REP524250:REP524286 ROL524250:ROL524286 RYH524250:RYH524286 SID524250:SID524286 SRZ524250:SRZ524286 TBV524250:TBV524286 TLR524250:TLR524286 TVN524250:TVN524286 UFJ524250:UFJ524286 UPF524250:UPF524286 UZB524250:UZB524286 VIX524250:VIX524286 VST524250:VST524286 WCP524250:WCP524286 WML524250:WML524286 WWH524250:WWH524286 K589786:K589822 JV589786:JV589822 TR589786:TR589822 ADN589786:ADN589822 ANJ589786:ANJ589822 AXF589786:AXF589822 BHB589786:BHB589822 BQX589786:BQX589822 CAT589786:CAT589822 CKP589786:CKP589822 CUL589786:CUL589822 DEH589786:DEH589822 DOD589786:DOD589822 DXZ589786:DXZ589822 EHV589786:EHV589822 ERR589786:ERR589822 FBN589786:FBN589822 FLJ589786:FLJ589822 FVF589786:FVF589822 GFB589786:GFB589822 GOX589786:GOX589822 GYT589786:GYT589822 HIP589786:HIP589822 HSL589786:HSL589822 ICH589786:ICH589822 IMD589786:IMD589822 IVZ589786:IVZ589822 JFV589786:JFV589822 JPR589786:JPR589822 JZN589786:JZN589822 KJJ589786:KJJ589822 KTF589786:KTF589822 LDB589786:LDB589822 LMX589786:LMX589822 LWT589786:LWT589822 MGP589786:MGP589822 MQL589786:MQL589822 NAH589786:NAH589822 NKD589786:NKD589822 NTZ589786:NTZ589822 ODV589786:ODV589822 ONR589786:ONR589822 OXN589786:OXN589822 PHJ589786:PHJ589822 PRF589786:PRF589822 QBB589786:QBB589822 QKX589786:QKX589822 QUT589786:QUT589822 REP589786:REP589822 ROL589786:ROL589822 RYH589786:RYH589822 SID589786:SID589822 SRZ589786:SRZ589822 TBV589786:TBV589822 TLR589786:TLR589822 TVN589786:TVN589822 UFJ589786:UFJ589822 UPF589786:UPF589822 UZB589786:UZB589822 VIX589786:VIX589822 VST589786:VST589822 WCP589786:WCP589822 WML589786:WML589822 WWH589786:WWH589822 K655322:K655358 JV655322:JV655358 TR655322:TR655358 ADN655322:ADN655358 ANJ655322:ANJ655358 AXF655322:AXF655358 BHB655322:BHB655358 BQX655322:BQX655358 CAT655322:CAT655358 CKP655322:CKP655358 CUL655322:CUL655358 DEH655322:DEH655358 DOD655322:DOD655358 DXZ655322:DXZ655358 EHV655322:EHV655358 ERR655322:ERR655358 FBN655322:FBN655358 FLJ655322:FLJ655358 FVF655322:FVF655358 GFB655322:GFB655358 GOX655322:GOX655358 GYT655322:GYT655358 HIP655322:HIP655358 HSL655322:HSL655358 ICH655322:ICH655358 IMD655322:IMD655358 IVZ655322:IVZ655358 JFV655322:JFV655358 JPR655322:JPR655358 JZN655322:JZN655358 KJJ655322:KJJ655358 KTF655322:KTF655358 LDB655322:LDB655358 LMX655322:LMX655358 LWT655322:LWT655358 MGP655322:MGP655358 MQL655322:MQL655358 NAH655322:NAH655358 NKD655322:NKD655358 NTZ655322:NTZ655358 ODV655322:ODV655358 ONR655322:ONR655358 OXN655322:OXN655358 PHJ655322:PHJ655358 PRF655322:PRF655358 QBB655322:QBB655358 QKX655322:QKX655358 QUT655322:QUT655358 REP655322:REP655358 ROL655322:ROL655358 RYH655322:RYH655358 SID655322:SID655358 SRZ655322:SRZ655358 TBV655322:TBV655358 TLR655322:TLR655358 TVN655322:TVN655358 UFJ655322:UFJ655358 UPF655322:UPF655358 UZB655322:UZB655358 VIX655322:VIX655358 VST655322:VST655358 WCP655322:WCP655358 WML655322:WML655358 WWH655322:WWH655358 K720858:K720894 JV720858:JV720894 TR720858:TR720894 ADN720858:ADN720894 ANJ720858:ANJ720894 AXF720858:AXF720894 BHB720858:BHB720894 BQX720858:BQX720894 CAT720858:CAT720894 CKP720858:CKP720894 CUL720858:CUL720894 DEH720858:DEH720894 DOD720858:DOD720894 DXZ720858:DXZ720894 EHV720858:EHV720894 ERR720858:ERR720894 FBN720858:FBN720894 FLJ720858:FLJ720894 FVF720858:FVF720894 GFB720858:GFB720894 GOX720858:GOX720894 GYT720858:GYT720894 HIP720858:HIP720894 HSL720858:HSL720894 ICH720858:ICH720894 IMD720858:IMD720894 IVZ720858:IVZ720894 JFV720858:JFV720894 JPR720858:JPR720894 JZN720858:JZN720894 KJJ720858:KJJ720894 KTF720858:KTF720894 LDB720858:LDB720894 LMX720858:LMX720894 LWT720858:LWT720894 MGP720858:MGP720894 MQL720858:MQL720894 NAH720858:NAH720894 NKD720858:NKD720894 NTZ720858:NTZ720894 ODV720858:ODV720894 ONR720858:ONR720894 OXN720858:OXN720894 PHJ720858:PHJ720894 PRF720858:PRF720894 QBB720858:QBB720894 QKX720858:QKX720894 QUT720858:QUT720894 REP720858:REP720894 ROL720858:ROL720894 RYH720858:RYH720894 SID720858:SID720894 SRZ720858:SRZ720894 TBV720858:TBV720894 TLR720858:TLR720894 TVN720858:TVN720894 UFJ720858:UFJ720894 UPF720858:UPF720894 UZB720858:UZB720894 VIX720858:VIX720894 VST720858:VST720894 WCP720858:WCP720894 WML720858:WML720894 WWH720858:WWH720894 K786394:K786430 JV786394:JV786430 TR786394:TR786430 ADN786394:ADN786430 ANJ786394:ANJ786430 AXF786394:AXF786430 BHB786394:BHB786430 BQX786394:BQX786430 CAT786394:CAT786430 CKP786394:CKP786430 CUL786394:CUL786430 DEH786394:DEH786430 DOD786394:DOD786430 DXZ786394:DXZ786430 EHV786394:EHV786430 ERR786394:ERR786430 FBN786394:FBN786430 FLJ786394:FLJ786430 FVF786394:FVF786430 GFB786394:GFB786430 GOX786394:GOX786430 GYT786394:GYT786430 HIP786394:HIP786430 HSL786394:HSL786430 ICH786394:ICH786430 IMD786394:IMD786430 IVZ786394:IVZ786430 JFV786394:JFV786430 JPR786394:JPR786430 JZN786394:JZN786430 KJJ786394:KJJ786430 KTF786394:KTF786430 LDB786394:LDB786430 LMX786394:LMX786430 LWT786394:LWT786430 MGP786394:MGP786430 MQL786394:MQL786430 NAH786394:NAH786430 NKD786394:NKD786430 NTZ786394:NTZ786430 ODV786394:ODV786430 ONR786394:ONR786430 OXN786394:OXN786430 PHJ786394:PHJ786430 PRF786394:PRF786430 QBB786394:QBB786430 QKX786394:QKX786430 QUT786394:QUT786430 REP786394:REP786430 ROL786394:ROL786430 RYH786394:RYH786430 SID786394:SID786430 SRZ786394:SRZ786430 TBV786394:TBV786430 TLR786394:TLR786430 TVN786394:TVN786430 UFJ786394:UFJ786430 UPF786394:UPF786430 UZB786394:UZB786430 VIX786394:VIX786430 VST786394:VST786430 WCP786394:WCP786430 WML786394:WML786430 WWH786394:WWH786430 K851930:K851966 JV851930:JV851966 TR851930:TR851966 ADN851930:ADN851966 ANJ851930:ANJ851966 AXF851930:AXF851966 BHB851930:BHB851966 BQX851930:BQX851966 CAT851930:CAT851966 CKP851930:CKP851966 CUL851930:CUL851966 DEH851930:DEH851966 DOD851930:DOD851966 DXZ851930:DXZ851966 EHV851930:EHV851966 ERR851930:ERR851966 FBN851930:FBN851966 FLJ851930:FLJ851966 FVF851930:FVF851966 GFB851930:GFB851966 GOX851930:GOX851966 GYT851930:GYT851966 HIP851930:HIP851966 HSL851930:HSL851966 ICH851930:ICH851966 IMD851930:IMD851966 IVZ851930:IVZ851966 JFV851930:JFV851966 JPR851930:JPR851966 JZN851930:JZN851966 KJJ851930:KJJ851966 KTF851930:KTF851966 LDB851930:LDB851966 LMX851930:LMX851966 LWT851930:LWT851966 MGP851930:MGP851966 MQL851930:MQL851966 NAH851930:NAH851966 NKD851930:NKD851966 NTZ851930:NTZ851966 ODV851930:ODV851966 ONR851930:ONR851966 OXN851930:OXN851966 PHJ851930:PHJ851966 PRF851930:PRF851966 QBB851930:QBB851966 QKX851930:QKX851966 QUT851930:QUT851966 REP851930:REP851966 ROL851930:ROL851966 RYH851930:RYH851966 SID851930:SID851966 SRZ851930:SRZ851966 TBV851930:TBV851966 TLR851930:TLR851966 TVN851930:TVN851966 UFJ851930:UFJ851966 UPF851930:UPF851966 UZB851930:UZB851966 VIX851930:VIX851966 VST851930:VST851966 WCP851930:WCP851966 WML851930:WML851966 WWH851930:WWH851966 K917466:K917502 JV917466:JV917502 TR917466:TR917502 ADN917466:ADN917502 ANJ917466:ANJ917502 AXF917466:AXF917502 BHB917466:BHB917502 BQX917466:BQX917502 CAT917466:CAT917502 CKP917466:CKP917502 CUL917466:CUL917502 DEH917466:DEH917502 DOD917466:DOD917502 DXZ917466:DXZ917502 EHV917466:EHV917502 ERR917466:ERR917502 FBN917466:FBN917502 FLJ917466:FLJ917502 FVF917466:FVF917502 GFB917466:GFB917502 GOX917466:GOX917502 GYT917466:GYT917502 HIP917466:HIP917502 HSL917466:HSL917502 ICH917466:ICH917502 IMD917466:IMD917502 IVZ917466:IVZ917502 JFV917466:JFV917502 JPR917466:JPR917502 JZN917466:JZN917502 KJJ917466:KJJ917502 KTF917466:KTF917502 LDB917466:LDB917502 LMX917466:LMX917502 LWT917466:LWT917502 MGP917466:MGP917502 MQL917466:MQL917502 NAH917466:NAH917502 NKD917466:NKD917502 NTZ917466:NTZ917502 ODV917466:ODV917502 ONR917466:ONR917502 OXN917466:OXN917502 PHJ917466:PHJ917502 PRF917466:PRF917502 QBB917466:QBB917502 QKX917466:QKX917502 QUT917466:QUT917502 REP917466:REP917502 ROL917466:ROL917502 RYH917466:RYH917502 SID917466:SID917502 SRZ917466:SRZ917502 TBV917466:TBV917502 TLR917466:TLR917502 TVN917466:TVN917502 UFJ917466:UFJ917502 UPF917466:UPF917502 UZB917466:UZB917502 VIX917466:VIX917502 VST917466:VST917502 WCP917466:WCP917502 WML917466:WML917502 WWH917466:WWH917502 K983002:K983038 JV983002:JV983038 TR983002:TR983038 ADN983002:ADN983038 ANJ983002:ANJ983038 AXF983002:AXF983038 BHB983002:BHB983038 BQX983002:BQX983038 CAT983002:CAT983038 CKP983002:CKP983038 CUL983002:CUL983038 DEH983002:DEH983038 DOD983002:DOD983038 DXZ983002:DXZ983038 EHV983002:EHV983038 ERR983002:ERR983038 FBN983002:FBN983038 FLJ983002:FLJ983038 FVF983002:FVF983038 GFB983002:GFB983038 GOX983002:GOX983038 GYT983002:GYT983038 HIP983002:HIP983038 HSL983002:HSL983038 ICH983002:ICH983038 IMD983002:IMD983038 IVZ983002:IVZ983038 JFV983002:JFV983038 JPR983002:JPR983038 JZN983002:JZN983038 KJJ983002:KJJ983038 KTF983002:KTF983038 LDB983002:LDB983038 LMX983002:LMX983038 LWT983002:LWT983038 MGP983002:MGP983038 MQL983002:MQL983038 NAH983002:NAH983038 NKD983002:NKD983038 NTZ983002:NTZ983038 ODV983002:ODV983038 ONR983002:ONR983038 OXN983002:OXN983038 PHJ983002:PHJ983038 PRF983002:PRF983038 QBB983002:QBB983038 QKX983002:QKX983038 QUT983002:QUT983038 REP983002:REP983038 ROL983002:ROL983038 RYH983002:RYH983038 SID983002:SID983038 SRZ983002:SRZ983038 TBV983002:TBV983038 TLR983002:TLR983038 TVN983002:TVN983038 UFJ983002:UFJ983038 UPF983002:UPF983038 UZB983002:UZB983038 VIX983002:VIX983038 VST983002:VST983038 WCP983002:WCP983038 WML983002:WML983038 WWH983002:WWH983038">
      <formula1>MOD(K65498,1)&lt;0.00001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Текущий 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2017-05-23T13:52:28Z</dcterms:modified>
</cp:coreProperties>
</file>