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'Лист1'!$A$2:$C$2</definedName>
  </definedNames>
  <calcPr fullCalcOnLoad="1"/>
</workbook>
</file>

<file path=xl/sharedStrings.xml><?xml version="1.0" encoding="utf-8"?>
<sst xmlns="http://schemas.openxmlformats.org/spreadsheetml/2006/main" count="2366" uniqueCount="230">
  <si>
    <t>1-Я НИЖНЯЯ УЛ. ЛОМОНОСОВ</t>
  </si>
  <si>
    <t>д.1</t>
  </si>
  <si>
    <t>-</t>
  </si>
  <si>
    <t>д.5</t>
  </si>
  <si>
    <t>АЛЕКСАНДРОВСКАЯ УЛ.</t>
  </si>
  <si>
    <t>д.15/14</t>
  </si>
  <si>
    <t>д.17</t>
  </si>
  <si>
    <t>д.20/16</t>
  </si>
  <si>
    <t>д.22/17</t>
  </si>
  <si>
    <t>д.23</t>
  </si>
  <si>
    <t>д.23А</t>
  </si>
  <si>
    <t>д.24</t>
  </si>
  <si>
    <t>д.25</t>
  </si>
  <si>
    <t>д.27</t>
  </si>
  <si>
    <t>д.28</t>
  </si>
  <si>
    <t>д.29</t>
  </si>
  <si>
    <t>д.30</t>
  </si>
  <si>
    <t>д.31</t>
  </si>
  <si>
    <t>д.32А</t>
  </si>
  <si>
    <t>д.32Б</t>
  </si>
  <si>
    <t>д.32В</t>
  </si>
  <si>
    <t>д.33</t>
  </si>
  <si>
    <t>д.36А</t>
  </si>
  <si>
    <t>д.36Б</t>
  </si>
  <si>
    <t>д.36В</t>
  </si>
  <si>
    <t>д.40</t>
  </si>
  <si>
    <t>д.42</t>
  </si>
  <si>
    <t>д.43</t>
  </si>
  <si>
    <t>д.45</t>
  </si>
  <si>
    <t>д.9/21</t>
  </si>
  <si>
    <t>БОГУМИЛОВСКАЯ УЛ.</t>
  </si>
  <si>
    <t>д.13</t>
  </si>
  <si>
    <t>д.15</t>
  </si>
  <si>
    <t>ВЛАДИМИРСКАЯ УЛ.</t>
  </si>
  <si>
    <t>д.12</t>
  </si>
  <si>
    <t>д.16</t>
  </si>
  <si>
    <t>д.16А</t>
  </si>
  <si>
    <t>д.18А</t>
  </si>
  <si>
    <t>д.20/2</t>
  </si>
  <si>
    <t>д.21</t>
  </si>
  <si>
    <t>д.22</t>
  </si>
  <si>
    <t>д.26</t>
  </si>
  <si>
    <t>д.26А</t>
  </si>
  <si>
    <t>д.26Б</t>
  </si>
  <si>
    <t>д.4</t>
  </si>
  <si>
    <t>ДВОРЦОВЫЙ ПР. ЛОМОНОСОВ</t>
  </si>
  <si>
    <t>д.34</t>
  </si>
  <si>
    <t>д.36</t>
  </si>
  <si>
    <t>д.38</t>
  </si>
  <si>
    <t>д.43/6</t>
  </si>
  <si>
    <t>д.45/7</t>
  </si>
  <si>
    <t>д.49</t>
  </si>
  <si>
    <t>д.51</t>
  </si>
  <si>
    <t>д.55/8</t>
  </si>
  <si>
    <t>д.59</t>
  </si>
  <si>
    <t>ДЕГТЯРЕВА УЛ. ЛОМОНОСОВ</t>
  </si>
  <si>
    <t>д.18/1</t>
  </si>
  <si>
    <t>ДЮМА УЛ. ЛОМОНОСОВ</t>
  </si>
  <si>
    <t>ЕЛЕНИНСКАЯ УЛ. ЛОМОНОСОВ</t>
  </si>
  <si>
    <t>д.26/13</t>
  </si>
  <si>
    <t>д.27/10</t>
  </si>
  <si>
    <t>д.9/1</t>
  </si>
  <si>
    <t>ЖИЛГОРОДОК-12 ЛОМОНОСОВ</t>
  </si>
  <si>
    <t>ЖОРЫ АНТОНЕНКО УЛ.</t>
  </si>
  <si>
    <t>д.14А</t>
  </si>
  <si>
    <t>д.6</t>
  </si>
  <si>
    <t>к.1</t>
  </si>
  <si>
    <t>д.8</t>
  </si>
  <si>
    <t>ЗАВОДСКАЯ УЛ. ЛОМОНОСОВ</t>
  </si>
  <si>
    <t>д.10</t>
  </si>
  <si>
    <t>д.14</t>
  </si>
  <si>
    <t>д.2</t>
  </si>
  <si>
    <t>д.3</t>
  </si>
  <si>
    <t>д.7</t>
  </si>
  <si>
    <t>ИЛИКОВСКИЙ ПР. ЛОМОНОСОВ</t>
  </si>
  <si>
    <t>д.24А</t>
  </si>
  <si>
    <t>д.30/2</t>
  </si>
  <si>
    <t>КИПРЕНСКОГО УЛ.ЛОМОНОСОВ</t>
  </si>
  <si>
    <t>д.54</t>
  </si>
  <si>
    <t>КИРОЧНАЯ УЛ. ЛОМОНОСОВ</t>
  </si>
  <si>
    <t>д.18</t>
  </si>
  <si>
    <t>д.20</t>
  </si>
  <si>
    <t>КОСТЫЛЕВА УЛ. ЛОМОНОСОВ</t>
  </si>
  <si>
    <t>КРАСНОАРМЕЙСКАЯ УЛ.</t>
  </si>
  <si>
    <t>д.37</t>
  </si>
  <si>
    <t>д.37А</t>
  </si>
  <si>
    <t>КРАСНОГО ФЛОТА УЛ.</t>
  </si>
  <si>
    <t>д.1А</t>
  </si>
  <si>
    <t>д.1Б</t>
  </si>
  <si>
    <t>д.20/41</t>
  </si>
  <si>
    <t>д.30А</t>
  </si>
  <si>
    <t>д.32</t>
  </si>
  <si>
    <t>д.7А</t>
  </si>
  <si>
    <t>д.9/46</t>
  </si>
  <si>
    <t>КРОНШТАДТСКАЯ УЛ.</t>
  </si>
  <si>
    <t>д.4А</t>
  </si>
  <si>
    <t>д.6/49</t>
  </si>
  <si>
    <t>ЛЕВИТАНА УЛ. ЛОМОНОСОВ</t>
  </si>
  <si>
    <t>ЛЕСНАЯ УЛ. ЛОМОНОСОВ</t>
  </si>
  <si>
    <t>ЛИТЕЙНАЯ УЛ. ЛОМОНОСОВ</t>
  </si>
  <si>
    <t>ЛОМОНОСОВА УЛ. ЛОМОНОСОВ</t>
  </si>
  <si>
    <t>д.12А</t>
  </si>
  <si>
    <t>МИХАЙЛОВСКАЯ УЛ.</t>
  </si>
  <si>
    <t>д.10/2</t>
  </si>
  <si>
    <t>д.24/22</t>
  </si>
  <si>
    <t>д.5А</t>
  </si>
  <si>
    <t>МОРСКАЯ УЛ. ЛОМОНОСОВ</t>
  </si>
  <si>
    <t>д.84</t>
  </si>
  <si>
    <t>д.84А</t>
  </si>
  <si>
    <t>д.86А</t>
  </si>
  <si>
    <t>НЕКРАСОВА УЛ. ЛОМОНОСОВ</t>
  </si>
  <si>
    <t>к.2</t>
  </si>
  <si>
    <t>ОРАНЖЕРЕЙНАЯ УЛ.</t>
  </si>
  <si>
    <t>ОРАНИЕНБАУМСКИЙ ПР.</t>
  </si>
  <si>
    <t>к.3</t>
  </si>
  <si>
    <t>д.39</t>
  </si>
  <si>
    <t>д.47</t>
  </si>
  <si>
    <t>ПЕТРОВСКИЙ ПЕР.ЛОМОНОСОВ</t>
  </si>
  <si>
    <t>ПИОНЕРЛАГЕРЬ Г.ЛОМОНОСОВ</t>
  </si>
  <si>
    <t>д.74</t>
  </si>
  <si>
    <t>ПОБЕДЫ УЛ. ЛОМОНОСОВ</t>
  </si>
  <si>
    <t>д.11</t>
  </si>
  <si>
    <t>д.11А</t>
  </si>
  <si>
    <t>д.11Б</t>
  </si>
  <si>
    <t>д.16/12</t>
  </si>
  <si>
    <t>д.19</t>
  </si>
  <si>
    <t>д.21А</t>
  </si>
  <si>
    <t>д.22/7</t>
  </si>
  <si>
    <t>д.3А</t>
  </si>
  <si>
    <t>д.9</t>
  </si>
  <si>
    <t>ПРОФСОЮЗНАЯ УЛ.ЛОМОНОСОВ</t>
  </si>
  <si>
    <t>ПУЛЕМЕТЧИКОВ УЛ.</t>
  </si>
  <si>
    <t>д.20А</t>
  </si>
  <si>
    <t>РУБАКИНА УЛ. ЛОМОНОСОВ</t>
  </si>
  <si>
    <t>САФРОНОВА УЛ. ЛОМОНОСОВ</t>
  </si>
  <si>
    <t>СВЯЗИ УЛ. ЛОМОНОСОВ</t>
  </si>
  <si>
    <t>СКУРИДИНА УЛ. ЛОМОНОСОВ</t>
  </si>
  <si>
    <t>ТОКАРЕВА УЛ.</t>
  </si>
  <si>
    <t>ФЕДЮНИНСКОГО УЛ.</t>
  </si>
  <si>
    <t>к.4</t>
  </si>
  <si>
    <t>ЧЕРНИКОВА УЛ. ЛОМОНОСОВ</t>
  </si>
  <si>
    <t>ШВЕЙЦАРСКАЯ УЛ.ЛОМОНОСОВ</t>
  </si>
  <si>
    <t>Улица</t>
  </si>
  <si>
    <t>Дом</t>
  </si>
  <si>
    <t>Корпус</t>
  </si>
  <si>
    <t>Содержание общего имущества  в многоквартирных домах</t>
  </si>
  <si>
    <t>Технические осмотры</t>
  </si>
  <si>
    <t>Общеполезная площадь</t>
  </si>
  <si>
    <t>Александровская,   2/  14</t>
  </si>
  <si>
    <t>Еленинская,   7/   2</t>
  </si>
  <si>
    <t>Железнодорожный пер., 6</t>
  </si>
  <si>
    <t>Заводская,   9</t>
  </si>
  <si>
    <t>Заводской пер.,  11</t>
  </si>
  <si>
    <t>Красного Флота,  28</t>
  </si>
  <si>
    <t>Красного Флота,  32</t>
  </si>
  <si>
    <t>Краснофлотское шоссе,  27</t>
  </si>
  <si>
    <t>Краснофлотское шоссе,  39</t>
  </si>
  <si>
    <t>Литейная,   6</t>
  </si>
  <si>
    <t>Манежная,   4а</t>
  </si>
  <si>
    <t>Михайловская,   8</t>
  </si>
  <si>
    <t>Михайловская,  27</t>
  </si>
  <si>
    <t>Морская,  22</t>
  </si>
  <si>
    <t>Морская,  27</t>
  </si>
  <si>
    <t>Морская,  29</t>
  </si>
  <si>
    <t>Морская,  55</t>
  </si>
  <si>
    <t>Морская,  65в</t>
  </si>
  <si>
    <t>Морская,  72</t>
  </si>
  <si>
    <t>Промышленный пер,  13</t>
  </si>
  <si>
    <t>Репина,   7</t>
  </si>
  <si>
    <t>Сидоровский канал,   2</t>
  </si>
  <si>
    <t>Центральная,   9</t>
  </si>
  <si>
    <t>Черникова,  19</t>
  </si>
  <si>
    <t>д.53</t>
  </si>
  <si>
    <t>д.10/19</t>
  </si>
  <si>
    <t>Аварийное обслуживание</t>
  </si>
  <si>
    <t>Подготовка домов к сезонной эксплуатации</t>
  </si>
  <si>
    <t>Услуги по заявочному ремонту</t>
  </si>
  <si>
    <t>Услуги по деретизации и дезинсекции</t>
  </si>
  <si>
    <t>услуги по аренде прямых проводов. Транспортные расходы</t>
  </si>
  <si>
    <t>Очистка вентканалов и дымоходов</t>
  </si>
  <si>
    <t>Замер сопротивления  изоляции проводов</t>
  </si>
  <si>
    <t>Обслуживание ОДС</t>
  </si>
  <si>
    <t>Всего содержание общего имущества</t>
  </si>
  <si>
    <t>Уборка лестничных клетов</t>
  </si>
  <si>
    <t>Очистка кровли от наледи и уборка снега</t>
  </si>
  <si>
    <t>Вывоз ТБО</t>
  </si>
  <si>
    <t>Текущий ремонт общего имущества в многоквартирном доме</t>
  </si>
  <si>
    <t xml:space="preserve"> </t>
  </si>
  <si>
    <t>525816/3633</t>
  </si>
  <si>
    <t>ремонт кровли</t>
  </si>
  <si>
    <t>Огнезащитная обработка деревянных конструкций</t>
  </si>
  <si>
    <t>ремонт стыков стеновых панелей</t>
  </si>
  <si>
    <t>Ремонт фасадов</t>
  </si>
  <si>
    <t>Изоляция верхней разводки системы отпления</t>
  </si>
  <si>
    <t>Монтаж и замена водосточных труб</t>
  </si>
  <si>
    <t>ремонт отмосток</t>
  </si>
  <si>
    <t>итого текущий ремонт</t>
  </si>
  <si>
    <t>Уборка и санитарно-гигиеническая очистка земельного участка</t>
  </si>
  <si>
    <t>Очистка мусоропроводов</t>
  </si>
  <si>
    <t>Содержание и ремонт переговорно-замочного устройства</t>
  </si>
  <si>
    <t>Содержание и текущий ремонт внутридомовых инженерных систем газоснабжения</t>
  </si>
  <si>
    <t>Содержание и ремонт лифтов</t>
  </si>
  <si>
    <t>Эксплуатация коллективных (общедомовых) приборов учета используемых энергетических ресурсов</t>
  </si>
  <si>
    <t>Диагностирование лифтов</t>
  </si>
  <si>
    <t>Комплексное техническое обслуживание лифтов</t>
  </si>
  <si>
    <t>итого содержание и ремонт лифтов</t>
  </si>
  <si>
    <t>Всего расходов</t>
  </si>
  <si>
    <t>Управление многоквартирным домом</t>
  </si>
  <si>
    <t>постоян.</t>
  </si>
  <si>
    <t>разов.</t>
  </si>
  <si>
    <t>скидки</t>
  </si>
  <si>
    <t>тек.нач.</t>
  </si>
  <si>
    <t>поступл.</t>
  </si>
  <si>
    <t>доходы</t>
  </si>
  <si>
    <t>Расходы</t>
  </si>
  <si>
    <t>Ремонт кровли</t>
  </si>
  <si>
    <t>Нормализация температурно-влажностного режима</t>
  </si>
  <si>
    <t>Герметизщация стыков стеновых панелей</t>
  </si>
  <si>
    <t>Ремонт лестничных клеток ППР + УСП</t>
  </si>
  <si>
    <t>Ремонт квартир</t>
  </si>
  <si>
    <t>Замена водосточных труб</t>
  </si>
  <si>
    <t>Замена водосточных труб (антивандальные)</t>
  </si>
  <si>
    <t>Ремонт отмосток</t>
  </si>
  <si>
    <t>Ремонт и замена дверей</t>
  </si>
  <si>
    <t>Ремонт и замена дверей, решёток (металлические)</t>
  </si>
  <si>
    <t xml:space="preserve">Ремонт и замена оконных заполнений </t>
  </si>
  <si>
    <t>Ремонт и замена отдельных участков полов (МОП)</t>
  </si>
  <si>
    <t>Ремонт балконов, лестниц, козырьков над входами, в подвалы…</t>
  </si>
  <si>
    <t>Ремонт мусоропроводов (шиберов, стволов, клапанов)</t>
  </si>
  <si>
    <t>Итого текущий ремонт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</si>
</sst>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#,##0.0"/>
    <numFmt numFmtId="169" formatCode="#,##0.000"/>
    <numFmt numFmtId="170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52" applyBorder="1">
      <alignment/>
      <protection/>
    </xf>
    <xf numFmtId="0" fontId="19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right" vertical="top"/>
    </xf>
    <xf numFmtId="0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52" applyFont="1" applyBorder="1">
      <alignment/>
      <protection/>
    </xf>
    <xf numFmtId="0" fontId="19" fillId="0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31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19" fillId="33" borderId="12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0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top"/>
    </xf>
    <xf numFmtId="0" fontId="31" fillId="0" borderId="10" xfId="0" applyFont="1" applyFill="1" applyBorder="1" applyAlignment="1">
      <alignment wrapText="1"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2" fontId="31" fillId="0" borderId="0" xfId="0" applyNumberFormat="1" applyFont="1" applyAlignment="1">
      <alignment/>
    </xf>
    <xf numFmtId="0" fontId="3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>
      <alignment horizontal="right" vertical="top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>
      <alignment horizontal="right" vertical="top" wrapText="1"/>
    </xf>
    <xf numFmtId="0" fontId="19" fillId="0" borderId="10" xfId="52" applyFont="1" applyBorder="1">
      <alignment/>
      <protection/>
    </xf>
    <xf numFmtId="2" fontId="19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2" fillId="0" borderId="14" xfId="0" applyNumberFormat="1" applyFont="1" applyBorder="1" applyAlignment="1">
      <alignment horizontal="right" vertical="top"/>
    </xf>
    <xf numFmtId="2" fontId="22" fillId="0" borderId="10" xfId="0" applyNumberFormat="1" applyFont="1" applyFill="1" applyBorder="1" applyAlignment="1">
      <alignment wrapText="1"/>
    </xf>
    <xf numFmtId="169" fontId="22" fillId="0" borderId="10" xfId="0" applyNumberFormat="1" applyFont="1" applyFill="1" applyBorder="1" applyAlignment="1">
      <alignment wrapText="1"/>
    </xf>
    <xf numFmtId="165" fontId="22" fillId="0" borderId="10" xfId="0" applyNumberFormat="1" applyFont="1" applyFill="1" applyBorder="1" applyAlignment="1">
      <alignment wrapText="1"/>
    </xf>
    <xf numFmtId="169" fontId="22" fillId="0" borderId="10" xfId="0" applyNumberFormat="1" applyFont="1" applyFill="1" applyBorder="1" applyAlignment="1">
      <alignment horizontal="right" wrapText="1"/>
    </xf>
    <xf numFmtId="165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2" fillId="0" borderId="10" xfId="52" applyFont="1" applyFill="1" applyBorder="1">
      <alignment/>
      <protection/>
    </xf>
    <xf numFmtId="4" fontId="22" fillId="0" borderId="10" xfId="0" applyNumberFormat="1" applyFont="1" applyFill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9" fontId="21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right" vertical="top"/>
    </xf>
    <xf numFmtId="0" fontId="22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2"/>
  <sheetViews>
    <sheetView zoomScalePageLayoutView="0" workbookViewId="0" topLeftCell="A1">
      <pane xSplit="6255" ySplit="2415" topLeftCell="S229" activePane="bottomRight" state="split"/>
      <selection pane="topLeft" activeCell="A1" sqref="A1:IV16384"/>
      <selection pane="topRight" activeCell="Q1" sqref="Q1:Q16384"/>
      <selection pane="bottomLeft" activeCell="C262" sqref="C262"/>
      <selection pane="bottomRight" activeCell="V250" sqref="V250"/>
    </sheetView>
  </sheetViews>
  <sheetFormatPr defaultColWidth="9.140625" defaultRowHeight="15"/>
  <cols>
    <col min="1" max="1" width="34.7109375" style="0" customWidth="1"/>
    <col min="2" max="2" width="9.57421875" style="0" customWidth="1"/>
    <col min="3" max="4" width="11.8515625" style="0" customWidth="1"/>
    <col min="5" max="5" width="13.140625" style="0" customWidth="1"/>
    <col min="6" max="6" width="12.57421875" style="0" customWidth="1"/>
    <col min="7" max="7" width="11.8515625" style="0" customWidth="1"/>
    <col min="8" max="8" width="12.28125" style="0" customWidth="1"/>
    <col min="9" max="9" width="13.28125" style="0" customWidth="1"/>
    <col min="10" max="10" width="14.57421875" style="0" customWidth="1"/>
    <col min="11" max="11" width="10.57421875" style="0" customWidth="1"/>
    <col min="12" max="12" width="10.00390625" style="0" customWidth="1"/>
    <col min="13" max="13" width="9.57421875" style="0" customWidth="1"/>
    <col min="14" max="14" width="13.140625" style="0" customWidth="1"/>
    <col min="15" max="15" width="13.140625" style="39" customWidth="1"/>
    <col min="16" max="16" width="12.57421875" style="22" customWidth="1"/>
    <col min="17" max="17" width="12.28125" style="22" customWidth="1"/>
    <col min="18" max="18" width="11.57421875" style="22" bestFit="1" customWidth="1"/>
    <col min="19" max="20" width="10.57421875" style="0" bestFit="1" customWidth="1"/>
    <col min="21" max="21" width="9.57421875" style="0" bestFit="1" customWidth="1"/>
    <col min="22" max="22" width="11.140625" style="0" customWidth="1"/>
    <col min="24" max="24" width="10.57421875" style="0" customWidth="1"/>
    <col min="25" max="25" width="10.57421875" style="22" bestFit="1" customWidth="1"/>
    <col min="26" max="26" width="11.7109375" style="22" customWidth="1"/>
    <col min="27" max="27" width="11.140625" style="22" customWidth="1"/>
    <col min="28" max="28" width="12.57421875" style="22" customWidth="1"/>
    <col min="29" max="29" width="15.00390625" style="22" customWidth="1"/>
    <col min="30" max="31" width="14.57421875" style="0" customWidth="1"/>
    <col min="32" max="33" width="14.57421875" style="22" customWidth="1"/>
    <col min="34" max="34" width="15.7109375" style="22" customWidth="1"/>
    <col min="35" max="35" width="12.57421875" style="22" customWidth="1"/>
  </cols>
  <sheetData>
    <row r="1" spans="5:35" ht="15" customHeight="1">
      <c r="E1" s="70" t="s">
        <v>145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3" t="s">
        <v>183</v>
      </c>
      <c r="R1" s="73" t="s">
        <v>185</v>
      </c>
      <c r="S1" s="74" t="s">
        <v>186</v>
      </c>
      <c r="T1" s="75"/>
      <c r="U1" s="75"/>
      <c r="V1" s="75"/>
      <c r="W1" s="75"/>
      <c r="X1" s="75"/>
      <c r="Y1" s="76"/>
      <c r="Z1" s="71" t="s">
        <v>197</v>
      </c>
      <c r="AA1" s="71" t="s">
        <v>198</v>
      </c>
      <c r="AB1" s="70" t="s">
        <v>199</v>
      </c>
      <c r="AC1" s="70" t="s">
        <v>200</v>
      </c>
      <c r="AD1" s="70" t="s">
        <v>201</v>
      </c>
      <c r="AE1" s="70"/>
      <c r="AF1" s="70"/>
      <c r="AG1" s="71" t="s">
        <v>207</v>
      </c>
      <c r="AH1" s="70" t="s">
        <v>202</v>
      </c>
      <c r="AI1" s="70" t="s">
        <v>206</v>
      </c>
    </row>
    <row r="2" spans="1:35" ht="90.75" customHeight="1">
      <c r="A2" s="1" t="s">
        <v>142</v>
      </c>
      <c r="B2" s="2" t="s">
        <v>143</v>
      </c>
      <c r="C2" s="2" t="s">
        <v>144</v>
      </c>
      <c r="D2" s="25" t="s">
        <v>147</v>
      </c>
      <c r="E2" s="7" t="s">
        <v>146</v>
      </c>
      <c r="F2" s="7" t="s">
        <v>174</v>
      </c>
      <c r="G2" s="7" t="s">
        <v>175</v>
      </c>
      <c r="H2" s="7" t="s">
        <v>176</v>
      </c>
      <c r="I2" s="21" t="s">
        <v>177</v>
      </c>
      <c r="J2" s="7" t="s">
        <v>178</v>
      </c>
      <c r="K2" s="7" t="s">
        <v>179</v>
      </c>
      <c r="L2" s="7" t="s">
        <v>180</v>
      </c>
      <c r="M2" s="7" t="s">
        <v>181</v>
      </c>
      <c r="N2" s="7" t="s">
        <v>190</v>
      </c>
      <c r="O2" s="23" t="s">
        <v>184</v>
      </c>
      <c r="P2" s="31" t="s">
        <v>182</v>
      </c>
      <c r="Q2" s="73"/>
      <c r="R2" s="73"/>
      <c r="S2" s="7" t="s">
        <v>189</v>
      </c>
      <c r="T2" s="7" t="s">
        <v>191</v>
      </c>
      <c r="U2" s="7" t="s">
        <v>192</v>
      </c>
      <c r="V2" s="7" t="s">
        <v>193</v>
      </c>
      <c r="W2" s="7" t="s">
        <v>194</v>
      </c>
      <c r="X2" s="7" t="s">
        <v>195</v>
      </c>
      <c r="Y2" s="33" t="s">
        <v>196</v>
      </c>
      <c r="Z2" s="72"/>
      <c r="AA2" s="72"/>
      <c r="AB2" s="70"/>
      <c r="AC2" s="70"/>
      <c r="AD2" s="35" t="s">
        <v>204</v>
      </c>
      <c r="AE2" s="35" t="s">
        <v>203</v>
      </c>
      <c r="AF2" s="36" t="s">
        <v>205</v>
      </c>
      <c r="AG2" s="72"/>
      <c r="AH2" s="70"/>
      <c r="AI2" s="70"/>
    </row>
    <row r="3" spans="1:35" ht="15.75">
      <c r="A3" s="3" t="s">
        <v>0</v>
      </c>
      <c r="B3" s="4" t="s">
        <v>1</v>
      </c>
      <c r="C3" s="3" t="s">
        <v>2</v>
      </c>
      <c r="D3" s="26">
        <v>3219.2</v>
      </c>
      <c r="E3" s="19">
        <f>D3*0.36*12</f>
        <v>13906.943999999998</v>
      </c>
      <c r="F3" s="19">
        <f>D3*1.19*12</f>
        <v>45970.17599999999</v>
      </c>
      <c r="G3" s="19">
        <f>D3*1.18*12</f>
        <v>45583.871999999996</v>
      </c>
      <c r="H3" s="19">
        <f>D3*0.26*12</f>
        <v>10043.903999999999</v>
      </c>
      <c r="I3" s="19">
        <f>D3*0.06*12</f>
        <v>2317.8239999999996</v>
      </c>
      <c r="J3" s="19">
        <f>D3*0.18*12</f>
        <v>6953.471999999999</v>
      </c>
      <c r="K3" s="19">
        <f>80*8*4+80*6*2</f>
        <v>3520</v>
      </c>
      <c r="L3" s="8">
        <f>144.73*3</f>
        <v>434.18999999999994</v>
      </c>
      <c r="M3" s="8"/>
      <c r="N3" s="8"/>
      <c r="O3" s="24">
        <f aca="true" t="shared" si="0" ref="O3:O66">D3*0.55*5</f>
        <v>8852.8</v>
      </c>
      <c r="P3" s="32">
        <f>SUM(E3:O3)</f>
        <v>137583.18199999997</v>
      </c>
      <c r="Q3" s="32">
        <f>D3*1.27*5+D3*1.34*7</f>
        <v>50638.016</v>
      </c>
      <c r="R3" s="34">
        <f aca="true" t="shared" si="1" ref="R3:R66">D3*3.18*5+D3*3*7</f>
        <v>118788.47999999998</v>
      </c>
      <c r="S3" s="19"/>
      <c r="T3" s="19"/>
      <c r="U3" s="19"/>
      <c r="V3" s="8"/>
      <c r="W3" s="19">
        <f>5*220</f>
        <v>1100</v>
      </c>
      <c r="X3" s="19"/>
      <c r="Y3" s="32">
        <f>SUM(S3:X3)</f>
        <v>1100</v>
      </c>
      <c r="Z3" s="32">
        <f aca="true" t="shared" si="2" ref="Z3:Z66">D3*1.29*12</f>
        <v>49833.216</v>
      </c>
      <c r="AA3" s="32"/>
      <c r="AB3" s="32">
        <f>D3*0.49*12</f>
        <v>18928.896</v>
      </c>
      <c r="AC3" s="34">
        <f aca="true" t="shared" si="3" ref="AC3:AC66">D3*0.4*7+0.48*5</f>
        <v>9016.16</v>
      </c>
      <c r="AD3" s="8"/>
      <c r="AE3" s="8"/>
      <c r="AF3" s="34"/>
      <c r="AG3" s="32">
        <f aca="true" t="shared" si="4" ref="AG3:AG66">D3*1.18*12</f>
        <v>45583.871999999996</v>
      </c>
      <c r="AH3" s="32">
        <v>57500</v>
      </c>
      <c r="AI3" s="32">
        <f>P3+Q3+R3+Y3+Z3+AA3+AB3+AC3+AF3+AG3+AH3</f>
        <v>488971.8219999999</v>
      </c>
    </row>
    <row r="4" spans="1:35" ht="15.75">
      <c r="A4" s="3" t="s">
        <v>0</v>
      </c>
      <c r="B4" s="4" t="s">
        <v>3</v>
      </c>
      <c r="C4" s="3" t="s">
        <v>2</v>
      </c>
      <c r="D4" s="26">
        <v>973</v>
      </c>
      <c r="E4" s="19">
        <f aca="true" t="shared" si="5" ref="E4:E67">D4*0.36*12</f>
        <v>4203.36</v>
      </c>
      <c r="F4" s="19">
        <f aca="true" t="shared" si="6" ref="F4:F67">D4*1.19*12</f>
        <v>13894.439999999999</v>
      </c>
      <c r="G4" s="19">
        <f aca="true" t="shared" si="7" ref="G4:G67">D4*1.18*12</f>
        <v>13777.679999999998</v>
      </c>
      <c r="H4" s="19">
        <f aca="true" t="shared" si="8" ref="H4:H67">D4*0.26*12</f>
        <v>3035.76</v>
      </c>
      <c r="I4" s="19">
        <f aca="true" t="shared" si="9" ref="I4:I67">D4*0.06*12</f>
        <v>700.56</v>
      </c>
      <c r="J4" s="19">
        <f aca="true" t="shared" si="10" ref="J4:J67">D4*0.18*12</f>
        <v>2101.68</v>
      </c>
      <c r="K4" s="19">
        <f>16*8*4+16*6*2</f>
        <v>704</v>
      </c>
      <c r="L4" s="8">
        <f>144.73*3</f>
        <v>434.18999999999994</v>
      </c>
      <c r="M4" s="8"/>
      <c r="N4" s="8"/>
      <c r="O4" s="24">
        <f t="shared" si="0"/>
        <v>2675.7500000000005</v>
      </c>
      <c r="P4" s="32">
        <f aca="true" t="shared" si="11" ref="P4:P67">SUM(E4:O4)</f>
        <v>41527.42</v>
      </c>
      <c r="Q4" s="32">
        <f>D4*1.27*5+D4*1.34*7</f>
        <v>15305.29</v>
      </c>
      <c r="R4" s="34">
        <f t="shared" si="1"/>
        <v>35903.7</v>
      </c>
      <c r="S4" s="19"/>
      <c r="T4" s="19"/>
      <c r="U4" s="19"/>
      <c r="V4" s="8"/>
      <c r="W4" s="19"/>
      <c r="X4" s="19"/>
      <c r="Y4" s="32">
        <f aca="true" t="shared" si="12" ref="Y4:Y67">SUM(S4:X4)</f>
        <v>0</v>
      </c>
      <c r="Z4" s="32">
        <f t="shared" si="2"/>
        <v>15062.04</v>
      </c>
      <c r="AA4" s="32"/>
      <c r="AB4" s="32">
        <f>D4*0.49*12</f>
        <v>5721.24</v>
      </c>
      <c r="AC4" s="34">
        <f t="shared" si="3"/>
        <v>2726.8000000000006</v>
      </c>
      <c r="AD4" s="8"/>
      <c r="AE4" s="8"/>
      <c r="AF4" s="34"/>
      <c r="AG4" s="32">
        <f t="shared" si="4"/>
        <v>13777.679999999998</v>
      </c>
      <c r="AH4" s="32">
        <v>57500</v>
      </c>
      <c r="AI4" s="32">
        <f aca="true" t="shared" si="13" ref="AI4:AI67">P4+Q4+R4+Y4+Z4+AA4+AB4+AC4+AF4+AG4+AH4</f>
        <v>187524.17</v>
      </c>
    </row>
    <row r="5" spans="1:35" s="46" customFormat="1" ht="15.75">
      <c r="A5" s="4" t="s">
        <v>4</v>
      </c>
      <c r="B5" s="4" t="s">
        <v>5</v>
      </c>
      <c r="C5" s="4" t="s">
        <v>2</v>
      </c>
      <c r="D5" s="40">
        <v>1010.1</v>
      </c>
      <c r="E5" s="41">
        <f t="shared" si="5"/>
        <v>4363.632</v>
      </c>
      <c r="F5" s="41">
        <f t="shared" si="6"/>
        <v>14424.228</v>
      </c>
      <c r="G5" s="41">
        <f t="shared" si="7"/>
        <v>14303.016</v>
      </c>
      <c r="H5" s="41">
        <f t="shared" si="8"/>
        <v>3151.5120000000006</v>
      </c>
      <c r="I5" s="41">
        <f t="shared" si="9"/>
        <v>727.272</v>
      </c>
      <c r="J5" s="41">
        <f t="shared" si="10"/>
        <v>2181.816</v>
      </c>
      <c r="K5" s="41">
        <f>16*8*4+16*6*2</f>
        <v>704</v>
      </c>
      <c r="L5" s="42">
        <f>144.73*3</f>
        <v>434.18999999999994</v>
      </c>
      <c r="M5" s="42"/>
      <c r="N5" s="42">
        <f>1001*20.77</f>
        <v>20790.77</v>
      </c>
      <c r="O5" s="43">
        <f t="shared" si="0"/>
        <v>2777.7750000000005</v>
      </c>
      <c r="P5" s="44">
        <f t="shared" si="11"/>
        <v>63858.211</v>
      </c>
      <c r="Q5" s="44"/>
      <c r="R5" s="45">
        <f t="shared" si="1"/>
        <v>37272.69</v>
      </c>
      <c r="S5" s="41"/>
      <c r="T5" s="41"/>
      <c r="U5" s="41"/>
      <c r="V5" s="42"/>
      <c r="W5" s="41"/>
      <c r="X5" s="41"/>
      <c r="Y5" s="44">
        <f t="shared" si="12"/>
        <v>0</v>
      </c>
      <c r="Z5" s="44">
        <f t="shared" si="2"/>
        <v>15636.348</v>
      </c>
      <c r="AA5" s="44"/>
      <c r="AB5" s="44"/>
      <c r="AC5" s="45">
        <f t="shared" si="3"/>
        <v>2830.6800000000003</v>
      </c>
      <c r="AD5" s="42"/>
      <c r="AE5" s="42"/>
      <c r="AF5" s="45"/>
      <c r="AG5" s="44">
        <f t="shared" si="4"/>
        <v>14303.016</v>
      </c>
      <c r="AH5" s="44">
        <v>57500</v>
      </c>
      <c r="AI5" s="44">
        <f t="shared" si="13"/>
        <v>191400.945</v>
      </c>
    </row>
    <row r="6" spans="1:35" s="46" customFormat="1" ht="15.75">
      <c r="A6" s="4" t="s">
        <v>4</v>
      </c>
      <c r="B6" s="4" t="s">
        <v>6</v>
      </c>
      <c r="C6" s="4" t="s">
        <v>2</v>
      </c>
      <c r="D6" s="40">
        <v>1026.5</v>
      </c>
      <c r="E6" s="41">
        <f t="shared" si="5"/>
        <v>4434.48</v>
      </c>
      <c r="F6" s="41">
        <f t="shared" si="6"/>
        <v>14658.419999999998</v>
      </c>
      <c r="G6" s="41">
        <f t="shared" si="7"/>
        <v>14535.24</v>
      </c>
      <c r="H6" s="41">
        <f t="shared" si="8"/>
        <v>3202.68</v>
      </c>
      <c r="I6" s="41">
        <f t="shared" si="9"/>
        <v>739.0799999999999</v>
      </c>
      <c r="J6" s="41">
        <f t="shared" si="10"/>
        <v>2217.24</v>
      </c>
      <c r="K6" s="41">
        <f>8*6*2</f>
        <v>96</v>
      </c>
      <c r="L6" s="42">
        <f>144.73*14</f>
        <v>2026.2199999999998</v>
      </c>
      <c r="M6" s="42"/>
      <c r="N6" s="42">
        <f>1001*20.77</f>
        <v>20790.77</v>
      </c>
      <c r="O6" s="43">
        <f t="shared" si="0"/>
        <v>2822.875</v>
      </c>
      <c r="P6" s="44">
        <f t="shared" si="11"/>
        <v>65523.005000000005</v>
      </c>
      <c r="Q6" s="44"/>
      <c r="R6" s="45">
        <f t="shared" si="1"/>
        <v>37877.85</v>
      </c>
      <c r="S6" s="41"/>
      <c r="T6" s="41"/>
      <c r="U6" s="41"/>
      <c r="V6" s="42"/>
      <c r="W6" s="41"/>
      <c r="X6" s="41"/>
      <c r="Y6" s="44">
        <f t="shared" si="12"/>
        <v>0</v>
      </c>
      <c r="Z6" s="44">
        <f t="shared" si="2"/>
        <v>15890.22</v>
      </c>
      <c r="AA6" s="44"/>
      <c r="AB6" s="44"/>
      <c r="AC6" s="45">
        <f t="shared" si="3"/>
        <v>2876.6000000000004</v>
      </c>
      <c r="AD6" s="42"/>
      <c r="AE6" s="42"/>
      <c r="AF6" s="45"/>
      <c r="AG6" s="44">
        <f t="shared" si="4"/>
        <v>14535.24</v>
      </c>
      <c r="AH6" s="44">
        <v>57500</v>
      </c>
      <c r="AI6" s="44">
        <f t="shared" si="13"/>
        <v>194202.915</v>
      </c>
    </row>
    <row r="7" spans="1:35" s="46" customFormat="1" ht="15.75">
      <c r="A7" s="4" t="s">
        <v>4</v>
      </c>
      <c r="B7" s="4" t="s">
        <v>7</v>
      </c>
      <c r="C7" s="4" t="s">
        <v>2</v>
      </c>
      <c r="D7" s="40">
        <v>2668</v>
      </c>
      <c r="E7" s="41">
        <f t="shared" si="5"/>
        <v>11525.76</v>
      </c>
      <c r="F7" s="41">
        <f t="shared" si="6"/>
        <v>38099.04</v>
      </c>
      <c r="G7" s="41">
        <f t="shared" si="7"/>
        <v>37778.88</v>
      </c>
      <c r="H7" s="41">
        <f t="shared" si="8"/>
        <v>8324.16</v>
      </c>
      <c r="I7" s="41">
        <f t="shared" si="9"/>
        <v>1920.9599999999998</v>
      </c>
      <c r="J7" s="41">
        <f t="shared" si="10"/>
        <v>5762.88</v>
      </c>
      <c r="K7" s="41">
        <f>34*8*4+34*6*2</f>
        <v>1496</v>
      </c>
      <c r="L7" s="42">
        <f>144.78*2</f>
        <v>289.56</v>
      </c>
      <c r="M7" s="42"/>
      <c r="N7" s="42"/>
      <c r="O7" s="43">
        <f t="shared" si="0"/>
        <v>7337</v>
      </c>
      <c r="P7" s="44">
        <f t="shared" si="11"/>
        <v>112534.24</v>
      </c>
      <c r="Q7" s="44">
        <f>D7*1.27*5+D7*1.34*7</f>
        <v>41967.64</v>
      </c>
      <c r="R7" s="45">
        <f t="shared" si="1"/>
        <v>98449.2</v>
      </c>
      <c r="S7" s="41"/>
      <c r="T7" s="41"/>
      <c r="U7" s="41"/>
      <c r="V7" s="42"/>
      <c r="W7" s="41"/>
      <c r="X7" s="41"/>
      <c r="Y7" s="44">
        <f t="shared" si="12"/>
        <v>0</v>
      </c>
      <c r="Z7" s="44">
        <f t="shared" si="2"/>
        <v>41300.64</v>
      </c>
      <c r="AA7" s="44"/>
      <c r="AB7" s="44">
        <f aca="true" t="shared" si="14" ref="AB7:AB25">D7*0.49*12</f>
        <v>15687.84</v>
      </c>
      <c r="AC7" s="45">
        <f t="shared" si="3"/>
        <v>7472.8</v>
      </c>
      <c r="AD7" s="42"/>
      <c r="AE7" s="42"/>
      <c r="AF7" s="45"/>
      <c r="AG7" s="44">
        <f t="shared" si="4"/>
        <v>37778.88</v>
      </c>
      <c r="AH7" s="44">
        <v>57500</v>
      </c>
      <c r="AI7" s="44">
        <f t="shared" si="13"/>
        <v>412691.24000000005</v>
      </c>
    </row>
    <row r="8" spans="1:35" s="46" customFormat="1" ht="15.75">
      <c r="A8" s="4" t="s">
        <v>4</v>
      </c>
      <c r="B8" s="4" t="s">
        <v>8</v>
      </c>
      <c r="C8" s="4" t="s">
        <v>2</v>
      </c>
      <c r="D8" s="40">
        <v>2702.2</v>
      </c>
      <c r="E8" s="41">
        <f t="shared" si="5"/>
        <v>11673.503999999999</v>
      </c>
      <c r="F8" s="41">
        <f t="shared" si="6"/>
        <v>38587.416</v>
      </c>
      <c r="G8" s="41">
        <f t="shared" si="7"/>
        <v>38263.151999999995</v>
      </c>
      <c r="H8" s="41">
        <f t="shared" si="8"/>
        <v>8430.864</v>
      </c>
      <c r="I8" s="41">
        <f t="shared" si="9"/>
        <v>1945.5839999999998</v>
      </c>
      <c r="J8" s="41">
        <f t="shared" si="10"/>
        <v>5836.7519999999995</v>
      </c>
      <c r="K8" s="41">
        <f>34*8*4+34*6*2</f>
        <v>1496</v>
      </c>
      <c r="L8" s="42">
        <f>144.73*3</f>
        <v>434.18999999999994</v>
      </c>
      <c r="M8" s="42"/>
      <c r="N8" s="42"/>
      <c r="O8" s="43">
        <f t="shared" si="0"/>
        <v>7431.05</v>
      </c>
      <c r="P8" s="44">
        <f t="shared" si="11"/>
        <v>114098.51199999999</v>
      </c>
      <c r="Q8" s="44">
        <f>D8*1.27*5+D8*1.34*7</f>
        <v>42505.606</v>
      </c>
      <c r="R8" s="45">
        <f t="shared" si="1"/>
        <v>99711.18</v>
      </c>
      <c r="S8" s="41"/>
      <c r="T8" s="41"/>
      <c r="U8" s="41"/>
      <c r="V8" s="42"/>
      <c r="W8" s="41"/>
      <c r="X8" s="41"/>
      <c r="Y8" s="44">
        <f t="shared" si="12"/>
        <v>0</v>
      </c>
      <c r="Z8" s="44">
        <f t="shared" si="2"/>
        <v>41830.056</v>
      </c>
      <c r="AA8" s="44"/>
      <c r="AB8" s="44">
        <f t="shared" si="14"/>
        <v>15888.936</v>
      </c>
      <c r="AC8" s="45">
        <f t="shared" si="3"/>
        <v>7568.559999999999</v>
      </c>
      <c r="AD8" s="42"/>
      <c r="AE8" s="42"/>
      <c r="AF8" s="45"/>
      <c r="AG8" s="44">
        <f t="shared" si="4"/>
        <v>38263.151999999995</v>
      </c>
      <c r="AH8" s="44">
        <v>57500</v>
      </c>
      <c r="AI8" s="44">
        <f t="shared" si="13"/>
        <v>417366.002</v>
      </c>
    </row>
    <row r="9" spans="1:35" s="46" customFormat="1" ht="15.75">
      <c r="A9" s="4" t="s">
        <v>4</v>
      </c>
      <c r="B9" s="4" t="s">
        <v>9</v>
      </c>
      <c r="C9" s="4" t="s">
        <v>2</v>
      </c>
      <c r="D9" s="40">
        <v>2739.1</v>
      </c>
      <c r="E9" s="41">
        <f t="shared" si="5"/>
        <v>11832.911999999998</v>
      </c>
      <c r="F9" s="41">
        <f t="shared" si="6"/>
        <v>39114.348</v>
      </c>
      <c r="G9" s="41">
        <f t="shared" si="7"/>
        <v>38785.656</v>
      </c>
      <c r="H9" s="41">
        <f t="shared" si="8"/>
        <v>8545.992</v>
      </c>
      <c r="I9" s="41">
        <f t="shared" si="9"/>
        <v>1972.1519999999996</v>
      </c>
      <c r="J9" s="41">
        <f t="shared" si="10"/>
        <v>5916.455999999999</v>
      </c>
      <c r="K9" s="41">
        <f>56*8*4+56*2*6</f>
        <v>2464</v>
      </c>
      <c r="L9" s="42">
        <f>144.73*66</f>
        <v>9552.179999999998</v>
      </c>
      <c r="M9" s="42"/>
      <c r="N9" s="42"/>
      <c r="O9" s="43">
        <f t="shared" si="0"/>
        <v>7532.525000000001</v>
      </c>
      <c r="P9" s="44">
        <f t="shared" si="11"/>
        <v>125716.22099999999</v>
      </c>
      <c r="Q9" s="44">
        <f>D9*1.27*5+D9*1.34*7</f>
        <v>43086.043000000005</v>
      </c>
      <c r="R9" s="45">
        <f t="shared" si="1"/>
        <v>101072.79</v>
      </c>
      <c r="S9" s="41"/>
      <c r="T9" s="41"/>
      <c r="U9" s="41"/>
      <c r="V9" s="42"/>
      <c r="W9" s="41"/>
      <c r="X9" s="41">
        <v>107000</v>
      </c>
      <c r="Y9" s="44">
        <f t="shared" si="12"/>
        <v>107000</v>
      </c>
      <c r="Z9" s="44">
        <f t="shared" si="2"/>
        <v>42401.268</v>
      </c>
      <c r="AA9" s="44"/>
      <c r="AB9" s="44">
        <f t="shared" si="14"/>
        <v>16105.908</v>
      </c>
      <c r="AC9" s="45">
        <f t="shared" si="3"/>
        <v>7671.88</v>
      </c>
      <c r="AD9" s="42"/>
      <c r="AE9" s="42"/>
      <c r="AF9" s="45"/>
      <c r="AG9" s="44">
        <f t="shared" si="4"/>
        <v>38785.656</v>
      </c>
      <c r="AH9" s="44">
        <v>57500</v>
      </c>
      <c r="AI9" s="44">
        <f t="shared" si="13"/>
        <v>539339.7660000001</v>
      </c>
    </row>
    <row r="10" spans="1:35" s="46" customFormat="1" ht="15.75">
      <c r="A10" s="4" t="s">
        <v>4</v>
      </c>
      <c r="B10" s="4" t="s">
        <v>10</v>
      </c>
      <c r="C10" s="4" t="s">
        <v>2</v>
      </c>
      <c r="D10" s="40">
        <v>1544.3</v>
      </c>
      <c r="E10" s="41">
        <f t="shared" si="5"/>
        <v>6671.376</v>
      </c>
      <c r="F10" s="41">
        <f t="shared" si="6"/>
        <v>22052.604</v>
      </c>
      <c r="G10" s="41">
        <f t="shared" si="7"/>
        <v>21867.288</v>
      </c>
      <c r="H10" s="41">
        <f t="shared" si="8"/>
        <v>4818.216</v>
      </c>
      <c r="I10" s="41">
        <f t="shared" si="9"/>
        <v>1111.8959999999997</v>
      </c>
      <c r="J10" s="41">
        <f t="shared" si="10"/>
        <v>3335.688</v>
      </c>
      <c r="K10" s="41">
        <f>36*8*4+36*6*2</f>
        <v>1584</v>
      </c>
      <c r="L10" s="42">
        <f>44*144.73</f>
        <v>6368.12</v>
      </c>
      <c r="M10" s="42"/>
      <c r="N10" s="42"/>
      <c r="O10" s="43">
        <f t="shared" si="0"/>
        <v>4246.825</v>
      </c>
      <c r="P10" s="44">
        <f t="shared" si="11"/>
        <v>72056.01299999999</v>
      </c>
      <c r="Q10" s="44"/>
      <c r="R10" s="45">
        <f t="shared" si="1"/>
        <v>56984.67</v>
      </c>
      <c r="S10" s="41"/>
      <c r="T10" s="41"/>
      <c r="U10" s="41"/>
      <c r="V10" s="42"/>
      <c r="W10" s="41">
        <f>5*220</f>
        <v>1100</v>
      </c>
      <c r="X10" s="41">
        <v>6000</v>
      </c>
      <c r="Y10" s="44">
        <f t="shared" si="12"/>
        <v>7100</v>
      </c>
      <c r="Z10" s="44">
        <f t="shared" si="2"/>
        <v>23905.764</v>
      </c>
      <c r="AA10" s="44"/>
      <c r="AB10" s="44">
        <f t="shared" si="14"/>
        <v>9080.484</v>
      </c>
      <c r="AC10" s="45">
        <f t="shared" si="3"/>
        <v>4326.44</v>
      </c>
      <c r="AD10" s="42"/>
      <c r="AE10" s="42"/>
      <c r="AF10" s="45"/>
      <c r="AG10" s="44">
        <f t="shared" si="4"/>
        <v>21867.288</v>
      </c>
      <c r="AH10" s="44">
        <v>57500</v>
      </c>
      <c r="AI10" s="44">
        <f t="shared" si="13"/>
        <v>252820.65899999999</v>
      </c>
    </row>
    <row r="11" spans="1:35" s="46" customFormat="1" ht="15.75">
      <c r="A11" s="4" t="s">
        <v>4</v>
      </c>
      <c r="B11" s="4" t="s">
        <v>11</v>
      </c>
      <c r="C11" s="4" t="s">
        <v>2</v>
      </c>
      <c r="D11" s="40">
        <v>1028.7</v>
      </c>
      <c r="E11" s="41">
        <f t="shared" si="5"/>
        <v>4443.984</v>
      </c>
      <c r="F11" s="41">
        <f t="shared" si="6"/>
        <v>14689.836</v>
      </c>
      <c r="G11" s="41">
        <f t="shared" si="7"/>
        <v>14566.392</v>
      </c>
      <c r="H11" s="41">
        <f t="shared" si="8"/>
        <v>3209.544000000001</v>
      </c>
      <c r="I11" s="41">
        <f t="shared" si="9"/>
        <v>740.664</v>
      </c>
      <c r="J11" s="41">
        <f t="shared" si="10"/>
        <v>2221.992</v>
      </c>
      <c r="K11" s="41">
        <f>8*8*4+8*6*2</f>
        <v>352</v>
      </c>
      <c r="L11" s="42"/>
      <c r="M11" s="42"/>
      <c r="N11" s="42"/>
      <c r="O11" s="43">
        <f t="shared" si="0"/>
        <v>2828.925</v>
      </c>
      <c r="P11" s="44">
        <f t="shared" si="11"/>
        <v>43053.337</v>
      </c>
      <c r="Q11" s="44"/>
      <c r="R11" s="45">
        <f t="shared" si="1"/>
        <v>37959.030000000006</v>
      </c>
      <c r="S11" s="41"/>
      <c r="T11" s="41"/>
      <c r="U11" s="41"/>
      <c r="V11" s="42"/>
      <c r="W11" s="41"/>
      <c r="X11" s="41"/>
      <c r="Y11" s="44">
        <f t="shared" si="12"/>
        <v>0</v>
      </c>
      <c r="Z11" s="44">
        <f t="shared" si="2"/>
        <v>15924.276000000002</v>
      </c>
      <c r="AA11" s="44"/>
      <c r="AB11" s="44">
        <f t="shared" si="14"/>
        <v>6048.755999999999</v>
      </c>
      <c r="AC11" s="45">
        <f t="shared" si="3"/>
        <v>2882.76</v>
      </c>
      <c r="AD11" s="42"/>
      <c r="AE11" s="42"/>
      <c r="AF11" s="45"/>
      <c r="AG11" s="44">
        <f t="shared" si="4"/>
        <v>14566.392</v>
      </c>
      <c r="AH11" s="44"/>
      <c r="AI11" s="44">
        <f t="shared" si="13"/>
        <v>120434.55099999998</v>
      </c>
    </row>
    <row r="12" spans="1:35" s="46" customFormat="1" ht="15.75">
      <c r="A12" s="4" t="s">
        <v>4</v>
      </c>
      <c r="B12" s="4" t="s">
        <v>12</v>
      </c>
      <c r="C12" s="4" t="s">
        <v>2</v>
      </c>
      <c r="D12" s="40">
        <v>1479.3</v>
      </c>
      <c r="E12" s="41">
        <f t="shared" si="5"/>
        <v>6390.576</v>
      </c>
      <c r="F12" s="41">
        <f t="shared" si="6"/>
        <v>21124.404</v>
      </c>
      <c r="G12" s="41">
        <f t="shared" si="7"/>
        <v>20946.888</v>
      </c>
      <c r="H12" s="41">
        <f t="shared" si="8"/>
        <v>4615.416</v>
      </c>
      <c r="I12" s="41">
        <f t="shared" si="9"/>
        <v>1065.096</v>
      </c>
      <c r="J12" s="41">
        <f t="shared" si="10"/>
        <v>3195.288</v>
      </c>
      <c r="K12" s="41">
        <f>36*8*4+36*6*2</f>
        <v>1584</v>
      </c>
      <c r="L12" s="42">
        <f>44*144.73</f>
        <v>6368.12</v>
      </c>
      <c r="M12" s="42"/>
      <c r="N12" s="42">
        <f>850*20.77</f>
        <v>17654.5</v>
      </c>
      <c r="O12" s="43">
        <f t="shared" si="0"/>
        <v>4068.075</v>
      </c>
      <c r="P12" s="44">
        <f t="shared" si="11"/>
        <v>87012.363</v>
      </c>
      <c r="Q12" s="44">
        <f aca="true" t="shared" si="15" ref="Q12:Q25">D12*1.27*5+D12*1.34*7</f>
        <v>23269.389000000003</v>
      </c>
      <c r="R12" s="45">
        <f t="shared" si="1"/>
        <v>54586.17</v>
      </c>
      <c r="S12" s="41"/>
      <c r="T12" s="41"/>
      <c r="U12" s="41"/>
      <c r="V12" s="42"/>
      <c r="W12" s="41">
        <f>9*220</f>
        <v>1980</v>
      </c>
      <c r="X12" s="41"/>
      <c r="Y12" s="44">
        <f t="shared" si="12"/>
        <v>1980</v>
      </c>
      <c r="Z12" s="44">
        <f t="shared" si="2"/>
        <v>22899.564</v>
      </c>
      <c r="AA12" s="44"/>
      <c r="AB12" s="44">
        <f t="shared" si="14"/>
        <v>8698.284</v>
      </c>
      <c r="AC12" s="45">
        <f t="shared" si="3"/>
        <v>4144.44</v>
      </c>
      <c r="AD12" s="42"/>
      <c r="AE12" s="42"/>
      <c r="AF12" s="45"/>
      <c r="AG12" s="44">
        <f t="shared" si="4"/>
        <v>20946.888</v>
      </c>
      <c r="AH12" s="44">
        <v>57500</v>
      </c>
      <c r="AI12" s="44">
        <f t="shared" si="13"/>
        <v>281037.098</v>
      </c>
    </row>
    <row r="13" spans="1:35" s="46" customFormat="1" ht="15.75">
      <c r="A13" s="4" t="s">
        <v>4</v>
      </c>
      <c r="B13" s="4" t="s">
        <v>13</v>
      </c>
      <c r="C13" s="4" t="s">
        <v>2</v>
      </c>
      <c r="D13" s="40">
        <v>3536.9</v>
      </c>
      <c r="E13" s="41">
        <f t="shared" si="5"/>
        <v>15279.408</v>
      </c>
      <c r="F13" s="41">
        <f t="shared" si="6"/>
        <v>50506.932</v>
      </c>
      <c r="G13" s="41">
        <f t="shared" si="7"/>
        <v>50082.50399999999</v>
      </c>
      <c r="H13" s="41">
        <f t="shared" si="8"/>
        <v>11035.128</v>
      </c>
      <c r="I13" s="41">
        <f t="shared" si="9"/>
        <v>2546.568</v>
      </c>
      <c r="J13" s="41">
        <f t="shared" si="10"/>
        <v>7639.704</v>
      </c>
      <c r="K13" s="41">
        <f>80*6*2</f>
        <v>960</v>
      </c>
      <c r="L13" s="42">
        <f>144.73*3</f>
        <v>434.18999999999994</v>
      </c>
      <c r="M13" s="42"/>
      <c r="N13" s="42"/>
      <c r="O13" s="43">
        <f t="shared" si="0"/>
        <v>9726.475000000002</v>
      </c>
      <c r="P13" s="44">
        <f t="shared" si="11"/>
        <v>148210.90899999999</v>
      </c>
      <c r="Q13" s="44">
        <f t="shared" si="15"/>
        <v>55635.437000000005</v>
      </c>
      <c r="R13" s="45">
        <f t="shared" si="1"/>
        <v>130511.61000000002</v>
      </c>
      <c r="S13" s="41"/>
      <c r="T13" s="41"/>
      <c r="U13" s="41"/>
      <c r="V13" s="42"/>
      <c r="W13" s="41">
        <f>2.4*220</f>
        <v>528</v>
      </c>
      <c r="X13" s="41"/>
      <c r="Y13" s="44">
        <f t="shared" si="12"/>
        <v>528</v>
      </c>
      <c r="Z13" s="44">
        <f t="shared" si="2"/>
        <v>54751.21200000001</v>
      </c>
      <c r="AA13" s="44"/>
      <c r="AB13" s="44">
        <f t="shared" si="14"/>
        <v>20796.971999999998</v>
      </c>
      <c r="AC13" s="45">
        <f t="shared" si="3"/>
        <v>9905.720000000001</v>
      </c>
      <c r="AD13" s="42"/>
      <c r="AE13" s="42"/>
      <c r="AF13" s="45"/>
      <c r="AG13" s="44">
        <f t="shared" si="4"/>
        <v>50082.50399999999</v>
      </c>
      <c r="AH13" s="44">
        <v>57500</v>
      </c>
      <c r="AI13" s="44">
        <f t="shared" si="13"/>
        <v>527922.3640000001</v>
      </c>
    </row>
    <row r="14" spans="1:35" s="46" customFormat="1" ht="15.75">
      <c r="A14" s="4" t="s">
        <v>4</v>
      </c>
      <c r="B14" s="4" t="s">
        <v>14</v>
      </c>
      <c r="C14" s="4" t="s">
        <v>2</v>
      </c>
      <c r="D14" s="40">
        <v>3551.6</v>
      </c>
      <c r="E14" s="41">
        <f t="shared" si="5"/>
        <v>15342.912</v>
      </c>
      <c r="F14" s="41">
        <f t="shared" si="6"/>
        <v>50716.848</v>
      </c>
      <c r="G14" s="41">
        <f t="shared" si="7"/>
        <v>50290.656</v>
      </c>
      <c r="H14" s="41">
        <f t="shared" si="8"/>
        <v>11080.992</v>
      </c>
      <c r="I14" s="41">
        <f t="shared" si="9"/>
        <v>2557.1519999999996</v>
      </c>
      <c r="J14" s="41">
        <f t="shared" si="10"/>
        <v>7671.456</v>
      </c>
      <c r="K14" s="41">
        <f>80*8+80*6*2</f>
        <v>1600</v>
      </c>
      <c r="L14" s="42">
        <f>144.73*3</f>
        <v>434.18999999999994</v>
      </c>
      <c r="M14" s="42"/>
      <c r="N14" s="42"/>
      <c r="O14" s="43">
        <f t="shared" si="0"/>
        <v>9766.900000000001</v>
      </c>
      <c r="P14" s="44">
        <f t="shared" si="11"/>
        <v>149461.106</v>
      </c>
      <c r="Q14" s="44">
        <f t="shared" si="15"/>
        <v>55866.668000000005</v>
      </c>
      <c r="R14" s="45">
        <f t="shared" si="1"/>
        <v>131054.04</v>
      </c>
      <c r="S14" s="41">
        <f>100*120</f>
        <v>12000</v>
      </c>
      <c r="T14" s="41"/>
      <c r="U14" s="41"/>
      <c r="V14" s="42"/>
      <c r="W14" s="41"/>
      <c r="X14" s="41"/>
      <c r="Y14" s="44">
        <f t="shared" si="12"/>
        <v>12000</v>
      </c>
      <c r="Z14" s="44">
        <f t="shared" si="2"/>
        <v>54978.768000000004</v>
      </c>
      <c r="AA14" s="44"/>
      <c r="AB14" s="44">
        <f t="shared" si="14"/>
        <v>20883.408</v>
      </c>
      <c r="AC14" s="45">
        <f t="shared" si="3"/>
        <v>9946.880000000001</v>
      </c>
      <c r="AD14" s="42"/>
      <c r="AE14" s="42"/>
      <c r="AF14" s="45"/>
      <c r="AG14" s="44">
        <f t="shared" si="4"/>
        <v>50290.656</v>
      </c>
      <c r="AH14" s="44"/>
      <c r="AI14" s="44">
        <f t="shared" si="13"/>
        <v>484481.526</v>
      </c>
    </row>
    <row r="15" spans="1:35" s="46" customFormat="1" ht="15.75">
      <c r="A15" s="4" t="s">
        <v>4</v>
      </c>
      <c r="B15" s="4" t="s">
        <v>15</v>
      </c>
      <c r="C15" s="4" t="s">
        <v>2</v>
      </c>
      <c r="D15" s="40">
        <v>3540.7</v>
      </c>
      <c r="E15" s="41">
        <f t="shared" si="5"/>
        <v>15295.823999999997</v>
      </c>
      <c r="F15" s="41">
        <f t="shared" si="6"/>
        <v>50561.195999999996</v>
      </c>
      <c r="G15" s="41">
        <f t="shared" si="7"/>
        <v>50136.312</v>
      </c>
      <c r="H15" s="41">
        <f t="shared" si="8"/>
        <v>11046.984</v>
      </c>
      <c r="I15" s="41">
        <f t="shared" si="9"/>
        <v>2549.3039999999996</v>
      </c>
      <c r="J15" s="41">
        <f t="shared" si="10"/>
        <v>7647.911999999998</v>
      </c>
      <c r="K15" s="41">
        <f>80*6*2</f>
        <v>960</v>
      </c>
      <c r="L15" s="42">
        <f>90*144.73</f>
        <v>13025.699999999999</v>
      </c>
      <c r="M15" s="42"/>
      <c r="N15" s="42"/>
      <c r="O15" s="43">
        <f t="shared" si="0"/>
        <v>9736.925</v>
      </c>
      <c r="P15" s="44">
        <f t="shared" si="11"/>
        <v>160960.157</v>
      </c>
      <c r="Q15" s="44">
        <f t="shared" si="15"/>
        <v>55695.210999999996</v>
      </c>
      <c r="R15" s="45">
        <f t="shared" si="1"/>
        <v>130651.82999999999</v>
      </c>
      <c r="S15" s="41">
        <f>130*120</f>
        <v>15600</v>
      </c>
      <c r="T15" s="41"/>
      <c r="U15" s="41"/>
      <c r="V15" s="42"/>
      <c r="W15" s="41"/>
      <c r="X15" s="41"/>
      <c r="Y15" s="44">
        <f t="shared" si="12"/>
        <v>15600</v>
      </c>
      <c r="Z15" s="44">
        <f t="shared" si="2"/>
        <v>54810.03599999999</v>
      </c>
      <c r="AA15" s="44"/>
      <c r="AB15" s="44">
        <f t="shared" si="14"/>
        <v>20819.316</v>
      </c>
      <c r="AC15" s="45">
        <f t="shared" si="3"/>
        <v>9916.359999999999</v>
      </c>
      <c r="AD15" s="42"/>
      <c r="AE15" s="42"/>
      <c r="AF15" s="45"/>
      <c r="AG15" s="44">
        <f t="shared" si="4"/>
        <v>50136.312</v>
      </c>
      <c r="AH15" s="44"/>
      <c r="AI15" s="44">
        <f t="shared" si="13"/>
        <v>498589.2219999999</v>
      </c>
    </row>
    <row r="16" spans="1:35" s="46" customFormat="1" ht="15.75">
      <c r="A16" s="4" t="s">
        <v>4</v>
      </c>
      <c r="B16" s="4" t="s">
        <v>16</v>
      </c>
      <c r="C16" s="4" t="s">
        <v>2</v>
      </c>
      <c r="D16" s="40">
        <v>2728.6</v>
      </c>
      <c r="E16" s="41">
        <f t="shared" si="5"/>
        <v>11787.552</v>
      </c>
      <c r="F16" s="41">
        <f t="shared" si="6"/>
        <v>38964.407999999996</v>
      </c>
      <c r="G16" s="41">
        <f t="shared" si="7"/>
        <v>38636.975999999995</v>
      </c>
      <c r="H16" s="41">
        <f t="shared" si="8"/>
        <v>8513.232</v>
      </c>
      <c r="I16" s="41">
        <f t="shared" si="9"/>
        <v>1964.5919999999996</v>
      </c>
      <c r="J16" s="41">
        <f t="shared" si="10"/>
        <v>5893.776</v>
      </c>
      <c r="K16" s="41">
        <f>56*8+56*6*2</f>
        <v>1120</v>
      </c>
      <c r="L16" s="42">
        <f>144.73*3</f>
        <v>434.18999999999994</v>
      </c>
      <c r="M16" s="42"/>
      <c r="N16" s="42"/>
      <c r="O16" s="43">
        <f t="shared" si="0"/>
        <v>7503.65</v>
      </c>
      <c r="P16" s="44">
        <f t="shared" si="11"/>
        <v>114818.37599999999</v>
      </c>
      <c r="Q16" s="44">
        <f t="shared" si="15"/>
        <v>42920.878</v>
      </c>
      <c r="R16" s="45">
        <f t="shared" si="1"/>
        <v>100685.34</v>
      </c>
      <c r="S16" s="41"/>
      <c r="T16" s="41"/>
      <c r="U16" s="41"/>
      <c r="V16" s="42"/>
      <c r="W16" s="41"/>
      <c r="X16" s="41"/>
      <c r="Y16" s="44">
        <f t="shared" si="12"/>
        <v>0</v>
      </c>
      <c r="Z16" s="44">
        <f t="shared" si="2"/>
        <v>42238.727999999996</v>
      </c>
      <c r="AA16" s="44"/>
      <c r="AB16" s="44">
        <f t="shared" si="14"/>
        <v>16044.167999999998</v>
      </c>
      <c r="AC16" s="45">
        <f t="shared" si="3"/>
        <v>7642.48</v>
      </c>
      <c r="AD16" s="42"/>
      <c r="AE16" s="42"/>
      <c r="AF16" s="45"/>
      <c r="AG16" s="44">
        <f t="shared" si="4"/>
        <v>38636.975999999995</v>
      </c>
      <c r="AH16" s="44"/>
      <c r="AI16" s="44">
        <f t="shared" si="13"/>
        <v>362986.946</v>
      </c>
    </row>
    <row r="17" spans="1:35" s="46" customFormat="1" ht="15.75">
      <c r="A17" s="4" t="s">
        <v>4</v>
      </c>
      <c r="B17" s="4" t="s">
        <v>17</v>
      </c>
      <c r="C17" s="4" t="s">
        <v>2</v>
      </c>
      <c r="D17" s="40">
        <v>3530.6</v>
      </c>
      <c r="E17" s="41">
        <f t="shared" si="5"/>
        <v>15252.192</v>
      </c>
      <c r="F17" s="41">
        <f t="shared" si="6"/>
        <v>50416.96799999999</v>
      </c>
      <c r="G17" s="41">
        <f t="shared" si="7"/>
        <v>49993.29599999999</v>
      </c>
      <c r="H17" s="41">
        <f t="shared" si="8"/>
        <v>11015.472</v>
      </c>
      <c r="I17" s="41">
        <f t="shared" si="9"/>
        <v>2542.0319999999997</v>
      </c>
      <c r="J17" s="41">
        <f t="shared" si="10"/>
        <v>7626.096</v>
      </c>
      <c r="K17" s="41">
        <f>80*6*2</f>
        <v>960</v>
      </c>
      <c r="L17" s="42">
        <f>90*144.73</f>
        <v>13025.699999999999</v>
      </c>
      <c r="M17" s="42"/>
      <c r="N17" s="42"/>
      <c r="O17" s="43">
        <f t="shared" si="0"/>
        <v>9709.150000000001</v>
      </c>
      <c r="P17" s="44">
        <f t="shared" si="11"/>
        <v>160540.906</v>
      </c>
      <c r="Q17" s="44">
        <f t="shared" si="15"/>
        <v>55536.338</v>
      </c>
      <c r="R17" s="45">
        <f t="shared" si="1"/>
        <v>130279.14</v>
      </c>
      <c r="S17" s="41"/>
      <c r="T17" s="41">
        <f>30*135</f>
        <v>4050</v>
      </c>
      <c r="U17" s="41"/>
      <c r="V17" s="42"/>
      <c r="W17" s="41"/>
      <c r="X17" s="41">
        <v>6000</v>
      </c>
      <c r="Y17" s="44">
        <f t="shared" si="12"/>
        <v>10050</v>
      </c>
      <c r="Z17" s="44">
        <f t="shared" si="2"/>
        <v>54653.688</v>
      </c>
      <c r="AA17" s="44"/>
      <c r="AB17" s="44">
        <f t="shared" si="14"/>
        <v>20759.928</v>
      </c>
      <c r="AC17" s="45">
        <f t="shared" si="3"/>
        <v>9888.08</v>
      </c>
      <c r="AD17" s="42"/>
      <c r="AE17" s="42"/>
      <c r="AF17" s="45"/>
      <c r="AG17" s="44">
        <f t="shared" si="4"/>
        <v>49993.29599999999</v>
      </c>
      <c r="AH17" s="44">
        <v>57500</v>
      </c>
      <c r="AI17" s="44">
        <f t="shared" si="13"/>
        <v>549201.376</v>
      </c>
    </row>
    <row r="18" spans="1:35" s="46" customFormat="1" ht="15.75">
      <c r="A18" s="4" t="s">
        <v>4</v>
      </c>
      <c r="B18" s="4" t="s">
        <v>18</v>
      </c>
      <c r="C18" s="4" t="s">
        <v>2</v>
      </c>
      <c r="D18" s="40">
        <v>2592.3</v>
      </c>
      <c r="E18" s="41">
        <f t="shared" si="5"/>
        <v>11198.736</v>
      </c>
      <c r="F18" s="41">
        <f t="shared" si="6"/>
        <v>37018.044</v>
      </c>
      <c r="G18" s="41">
        <f t="shared" si="7"/>
        <v>36706.968</v>
      </c>
      <c r="H18" s="41">
        <f t="shared" si="8"/>
        <v>8087.976000000001</v>
      </c>
      <c r="I18" s="41">
        <f t="shared" si="9"/>
        <v>1866.4560000000001</v>
      </c>
      <c r="J18" s="41">
        <f t="shared" si="10"/>
        <v>5599.368</v>
      </c>
      <c r="K18" s="41">
        <f>60*8+60*6*2</f>
        <v>1200</v>
      </c>
      <c r="L18" s="42">
        <f>144.73*3</f>
        <v>434.18999999999994</v>
      </c>
      <c r="M18" s="42"/>
      <c r="N18" s="42"/>
      <c r="O18" s="43">
        <f t="shared" si="0"/>
        <v>7128.825000000002</v>
      </c>
      <c r="P18" s="44">
        <f t="shared" si="11"/>
        <v>109240.563</v>
      </c>
      <c r="Q18" s="44">
        <f t="shared" si="15"/>
        <v>40776.879</v>
      </c>
      <c r="R18" s="45">
        <f t="shared" si="1"/>
        <v>95655.87000000001</v>
      </c>
      <c r="S18" s="41"/>
      <c r="T18" s="41"/>
      <c r="U18" s="41"/>
      <c r="V18" s="42"/>
      <c r="W18" s="41"/>
      <c r="X18" s="41">
        <v>58000</v>
      </c>
      <c r="Y18" s="44">
        <f t="shared" si="12"/>
        <v>58000</v>
      </c>
      <c r="Z18" s="44">
        <f t="shared" si="2"/>
        <v>40128.804000000004</v>
      </c>
      <c r="AA18" s="44"/>
      <c r="AB18" s="44">
        <f t="shared" si="14"/>
        <v>15242.724000000002</v>
      </c>
      <c r="AC18" s="45">
        <f t="shared" si="3"/>
        <v>7260.84</v>
      </c>
      <c r="AD18" s="42"/>
      <c r="AE18" s="42"/>
      <c r="AF18" s="45"/>
      <c r="AG18" s="44">
        <f t="shared" si="4"/>
        <v>36706.968</v>
      </c>
      <c r="AH18" s="44"/>
      <c r="AI18" s="44">
        <f t="shared" si="13"/>
        <v>403012.648</v>
      </c>
    </row>
    <row r="19" spans="1:35" s="46" customFormat="1" ht="15.75">
      <c r="A19" s="4" t="s">
        <v>4</v>
      </c>
      <c r="B19" s="4" t="s">
        <v>19</v>
      </c>
      <c r="C19" s="4" t="s">
        <v>2</v>
      </c>
      <c r="D19" s="40">
        <v>3532.7</v>
      </c>
      <c r="E19" s="41">
        <f t="shared" si="5"/>
        <v>15261.264</v>
      </c>
      <c r="F19" s="41">
        <f t="shared" si="6"/>
        <v>50446.95599999999</v>
      </c>
      <c r="G19" s="41">
        <f t="shared" si="7"/>
        <v>50023.03199999999</v>
      </c>
      <c r="H19" s="41">
        <f t="shared" si="8"/>
        <v>11022.024</v>
      </c>
      <c r="I19" s="41">
        <f t="shared" si="9"/>
        <v>2543.544</v>
      </c>
      <c r="J19" s="41">
        <f t="shared" si="10"/>
        <v>7630.632</v>
      </c>
      <c r="K19" s="41">
        <f>80*8+80*6*2</f>
        <v>1600</v>
      </c>
      <c r="L19" s="42">
        <f>144.73*3</f>
        <v>434.18999999999994</v>
      </c>
      <c r="M19" s="42"/>
      <c r="N19" s="42"/>
      <c r="O19" s="43">
        <f t="shared" si="0"/>
        <v>9714.925000000001</v>
      </c>
      <c r="P19" s="44">
        <f t="shared" si="11"/>
        <v>148676.56699999998</v>
      </c>
      <c r="Q19" s="44">
        <f t="shared" si="15"/>
        <v>55569.371</v>
      </c>
      <c r="R19" s="45">
        <f t="shared" si="1"/>
        <v>130356.62999999999</v>
      </c>
      <c r="S19" s="41"/>
      <c r="T19" s="41"/>
      <c r="U19" s="41"/>
      <c r="V19" s="42"/>
      <c r="W19" s="41"/>
      <c r="X19" s="41"/>
      <c r="Y19" s="44">
        <f t="shared" si="12"/>
        <v>0</v>
      </c>
      <c r="Z19" s="44">
        <f t="shared" si="2"/>
        <v>54686.195999999996</v>
      </c>
      <c r="AA19" s="44"/>
      <c r="AB19" s="44">
        <f t="shared" si="14"/>
        <v>20772.275999999998</v>
      </c>
      <c r="AC19" s="45">
        <f t="shared" si="3"/>
        <v>9893.96</v>
      </c>
      <c r="AD19" s="42"/>
      <c r="AE19" s="42"/>
      <c r="AF19" s="45"/>
      <c r="AG19" s="44">
        <f t="shared" si="4"/>
        <v>50023.03199999999</v>
      </c>
      <c r="AH19" s="44"/>
      <c r="AI19" s="44">
        <f t="shared" si="13"/>
        <v>469978.032</v>
      </c>
    </row>
    <row r="20" spans="1:35" s="46" customFormat="1" ht="15.75">
      <c r="A20" s="4" t="s">
        <v>4</v>
      </c>
      <c r="B20" s="4" t="s">
        <v>20</v>
      </c>
      <c r="C20" s="4" t="s">
        <v>2</v>
      </c>
      <c r="D20" s="40">
        <v>2586.8</v>
      </c>
      <c r="E20" s="41">
        <f t="shared" si="5"/>
        <v>11174.976</v>
      </c>
      <c r="F20" s="41">
        <f t="shared" si="6"/>
        <v>36939.504</v>
      </c>
      <c r="G20" s="41">
        <f t="shared" si="7"/>
        <v>36629.088</v>
      </c>
      <c r="H20" s="41">
        <f t="shared" si="8"/>
        <v>8070.816000000001</v>
      </c>
      <c r="I20" s="41">
        <f t="shared" si="9"/>
        <v>1862.496</v>
      </c>
      <c r="J20" s="41">
        <f t="shared" si="10"/>
        <v>5587.488</v>
      </c>
      <c r="K20" s="41">
        <f>60*8+60*6*2</f>
        <v>1200</v>
      </c>
      <c r="L20" s="42">
        <f>144.73*3</f>
        <v>434.18999999999994</v>
      </c>
      <c r="M20" s="42"/>
      <c r="N20" s="42"/>
      <c r="O20" s="43">
        <f t="shared" si="0"/>
        <v>7113.700000000001</v>
      </c>
      <c r="P20" s="44">
        <f t="shared" si="11"/>
        <v>109012.258</v>
      </c>
      <c r="Q20" s="44">
        <f t="shared" si="15"/>
        <v>40690.364</v>
      </c>
      <c r="R20" s="45">
        <f t="shared" si="1"/>
        <v>95452.92000000001</v>
      </c>
      <c r="S20" s="41"/>
      <c r="T20" s="41"/>
      <c r="U20" s="41"/>
      <c r="V20" s="42"/>
      <c r="W20" s="41"/>
      <c r="X20" s="41"/>
      <c r="Y20" s="44">
        <f t="shared" si="12"/>
        <v>0</v>
      </c>
      <c r="Z20" s="44">
        <f t="shared" si="2"/>
        <v>40043.664000000004</v>
      </c>
      <c r="AA20" s="44"/>
      <c r="AB20" s="44">
        <f t="shared" si="14"/>
        <v>15210.384000000002</v>
      </c>
      <c r="AC20" s="45">
        <f t="shared" si="3"/>
        <v>7245.44</v>
      </c>
      <c r="AD20" s="42"/>
      <c r="AE20" s="42"/>
      <c r="AF20" s="45"/>
      <c r="AG20" s="44">
        <f t="shared" si="4"/>
        <v>36629.088</v>
      </c>
      <c r="AH20" s="44"/>
      <c r="AI20" s="44">
        <f t="shared" si="13"/>
        <v>344284.118</v>
      </c>
    </row>
    <row r="21" spans="1:35" s="46" customFormat="1" ht="15.75">
      <c r="A21" s="4" t="s">
        <v>4</v>
      </c>
      <c r="B21" s="4" t="s">
        <v>21</v>
      </c>
      <c r="C21" s="4" t="s">
        <v>2</v>
      </c>
      <c r="D21" s="40">
        <v>3576.4</v>
      </c>
      <c r="E21" s="41">
        <f t="shared" si="5"/>
        <v>15450.047999999999</v>
      </c>
      <c r="F21" s="41">
        <f t="shared" si="6"/>
        <v>51070.992</v>
      </c>
      <c r="G21" s="41">
        <f t="shared" si="7"/>
        <v>50641.824</v>
      </c>
      <c r="H21" s="41">
        <f t="shared" si="8"/>
        <v>11158.368</v>
      </c>
      <c r="I21" s="41">
        <f t="shared" si="9"/>
        <v>2575.008</v>
      </c>
      <c r="J21" s="41">
        <f t="shared" si="10"/>
        <v>7725.023999999999</v>
      </c>
      <c r="K21" s="41">
        <f>80*6*2</f>
        <v>960</v>
      </c>
      <c r="L21" s="42">
        <f>90*144.73</f>
        <v>13025.699999999999</v>
      </c>
      <c r="M21" s="42"/>
      <c r="N21" s="42"/>
      <c r="O21" s="43">
        <f t="shared" si="0"/>
        <v>9835.1</v>
      </c>
      <c r="P21" s="44">
        <f t="shared" si="11"/>
        <v>162442.064</v>
      </c>
      <c r="Q21" s="44">
        <f t="shared" si="15"/>
        <v>56256.772</v>
      </c>
      <c r="R21" s="45">
        <f t="shared" si="1"/>
        <v>131969.16000000003</v>
      </c>
      <c r="S21" s="41"/>
      <c r="T21" s="41">
        <f>300*135</f>
        <v>40500</v>
      </c>
      <c r="U21" s="41"/>
      <c r="V21" s="42"/>
      <c r="W21" s="41"/>
      <c r="X21" s="41">
        <v>6000</v>
      </c>
      <c r="Y21" s="44">
        <f t="shared" si="12"/>
        <v>46500</v>
      </c>
      <c r="Z21" s="44">
        <f t="shared" si="2"/>
        <v>55362.672000000006</v>
      </c>
      <c r="AA21" s="44"/>
      <c r="AB21" s="44">
        <f t="shared" si="14"/>
        <v>21029.232</v>
      </c>
      <c r="AC21" s="45">
        <f t="shared" si="3"/>
        <v>10016.320000000002</v>
      </c>
      <c r="AD21" s="42"/>
      <c r="AE21" s="42"/>
      <c r="AF21" s="45"/>
      <c r="AG21" s="44">
        <f t="shared" si="4"/>
        <v>50641.824</v>
      </c>
      <c r="AH21" s="44">
        <v>57500</v>
      </c>
      <c r="AI21" s="44">
        <f t="shared" si="13"/>
        <v>591718.0440000001</v>
      </c>
    </row>
    <row r="22" spans="1:35" s="46" customFormat="1" ht="15.75">
      <c r="A22" s="4" t="s">
        <v>4</v>
      </c>
      <c r="B22" s="4" t="s">
        <v>22</v>
      </c>
      <c r="C22" s="4" t="s">
        <v>2</v>
      </c>
      <c r="D22" s="40">
        <v>2554.3</v>
      </c>
      <c r="E22" s="41">
        <f t="shared" si="5"/>
        <v>11034.576000000001</v>
      </c>
      <c r="F22" s="41">
        <f t="shared" si="6"/>
        <v>36475.404</v>
      </c>
      <c r="G22" s="41">
        <f t="shared" si="7"/>
        <v>36168.888</v>
      </c>
      <c r="H22" s="41">
        <f t="shared" si="8"/>
        <v>7969.416000000001</v>
      </c>
      <c r="I22" s="41">
        <f t="shared" si="9"/>
        <v>1839.096</v>
      </c>
      <c r="J22" s="41">
        <f t="shared" si="10"/>
        <v>5517.2880000000005</v>
      </c>
      <c r="K22" s="41">
        <f>60*8+60*6*2</f>
        <v>1200</v>
      </c>
      <c r="L22" s="42">
        <f>144.73*3</f>
        <v>434.18999999999994</v>
      </c>
      <c r="M22" s="42"/>
      <c r="N22" s="42"/>
      <c r="O22" s="43">
        <f t="shared" si="0"/>
        <v>7024.325000000001</v>
      </c>
      <c r="P22" s="44">
        <f t="shared" si="11"/>
        <v>107663.183</v>
      </c>
      <c r="Q22" s="44">
        <f t="shared" si="15"/>
        <v>40179.139</v>
      </c>
      <c r="R22" s="45">
        <f t="shared" si="1"/>
        <v>94253.67000000001</v>
      </c>
      <c r="S22" s="41"/>
      <c r="T22" s="41"/>
      <c r="U22" s="41"/>
      <c r="V22" s="42"/>
      <c r="W22" s="41"/>
      <c r="X22" s="41"/>
      <c r="Y22" s="44">
        <f t="shared" si="12"/>
        <v>0</v>
      </c>
      <c r="Z22" s="44">
        <f t="shared" si="2"/>
        <v>39540.564000000006</v>
      </c>
      <c r="AA22" s="44"/>
      <c r="AB22" s="44">
        <f t="shared" si="14"/>
        <v>15019.284</v>
      </c>
      <c r="AC22" s="45">
        <f t="shared" si="3"/>
        <v>7154.4400000000005</v>
      </c>
      <c r="AD22" s="42"/>
      <c r="AE22" s="42"/>
      <c r="AF22" s="45"/>
      <c r="AG22" s="44">
        <f t="shared" si="4"/>
        <v>36168.888</v>
      </c>
      <c r="AH22" s="44"/>
      <c r="AI22" s="44">
        <f t="shared" si="13"/>
        <v>339979.168</v>
      </c>
    </row>
    <row r="23" spans="1:35" s="46" customFormat="1" ht="15.75">
      <c r="A23" s="4" t="s">
        <v>4</v>
      </c>
      <c r="B23" s="4" t="s">
        <v>23</v>
      </c>
      <c r="C23" s="4" t="s">
        <v>2</v>
      </c>
      <c r="D23" s="40">
        <v>3490.8</v>
      </c>
      <c r="E23" s="41">
        <f t="shared" si="5"/>
        <v>15080.256000000001</v>
      </c>
      <c r="F23" s="41">
        <f t="shared" si="6"/>
        <v>49848.623999999996</v>
      </c>
      <c r="G23" s="41">
        <f t="shared" si="7"/>
        <v>49429.728</v>
      </c>
      <c r="H23" s="41">
        <f t="shared" si="8"/>
        <v>10891.296</v>
      </c>
      <c r="I23" s="41">
        <f t="shared" si="9"/>
        <v>2513.376</v>
      </c>
      <c r="J23" s="41">
        <f t="shared" si="10"/>
        <v>7540.128000000001</v>
      </c>
      <c r="K23" s="41">
        <f>80*8+80*6*2</f>
        <v>1600</v>
      </c>
      <c r="L23" s="42">
        <f>144.73*3</f>
        <v>434.18999999999994</v>
      </c>
      <c r="M23" s="42"/>
      <c r="N23" s="42"/>
      <c r="O23" s="43">
        <f t="shared" si="0"/>
        <v>9599.7</v>
      </c>
      <c r="P23" s="44">
        <f t="shared" si="11"/>
        <v>146937.29800000004</v>
      </c>
      <c r="Q23" s="44">
        <f t="shared" si="15"/>
        <v>54910.28400000001</v>
      </c>
      <c r="R23" s="45">
        <f t="shared" si="1"/>
        <v>128810.52000000002</v>
      </c>
      <c r="S23" s="41"/>
      <c r="T23" s="41"/>
      <c r="U23" s="41"/>
      <c r="V23" s="42"/>
      <c r="W23" s="41"/>
      <c r="X23" s="41">
        <v>14000</v>
      </c>
      <c r="Y23" s="44">
        <f t="shared" si="12"/>
        <v>14000</v>
      </c>
      <c r="Z23" s="44">
        <f t="shared" si="2"/>
        <v>54037.584</v>
      </c>
      <c r="AA23" s="44"/>
      <c r="AB23" s="44">
        <f t="shared" si="14"/>
        <v>20525.904</v>
      </c>
      <c r="AC23" s="45">
        <f t="shared" si="3"/>
        <v>9776.640000000001</v>
      </c>
      <c r="AD23" s="42"/>
      <c r="AE23" s="42"/>
      <c r="AF23" s="45"/>
      <c r="AG23" s="44">
        <f t="shared" si="4"/>
        <v>49429.728</v>
      </c>
      <c r="AH23" s="44"/>
      <c r="AI23" s="44">
        <f t="shared" si="13"/>
        <v>478427.9580000001</v>
      </c>
    </row>
    <row r="24" spans="1:35" s="46" customFormat="1" ht="15.75">
      <c r="A24" s="4" t="s">
        <v>4</v>
      </c>
      <c r="B24" s="4" t="s">
        <v>24</v>
      </c>
      <c r="C24" s="4" t="s">
        <v>2</v>
      </c>
      <c r="D24" s="40">
        <v>2520.2</v>
      </c>
      <c r="E24" s="41">
        <f t="shared" si="5"/>
        <v>10887.264</v>
      </c>
      <c r="F24" s="41">
        <f t="shared" si="6"/>
        <v>35988.45599999999</v>
      </c>
      <c r="G24" s="41">
        <f t="shared" si="7"/>
        <v>35686.032</v>
      </c>
      <c r="H24" s="41">
        <f t="shared" si="8"/>
        <v>7863.023999999999</v>
      </c>
      <c r="I24" s="41">
        <f t="shared" si="9"/>
        <v>1814.5439999999999</v>
      </c>
      <c r="J24" s="41">
        <f t="shared" si="10"/>
        <v>5443.632</v>
      </c>
      <c r="K24" s="41">
        <f>60*8+60*6*2</f>
        <v>1200</v>
      </c>
      <c r="L24" s="42">
        <f>144.73*3</f>
        <v>434.18999999999994</v>
      </c>
      <c r="M24" s="42"/>
      <c r="N24" s="42"/>
      <c r="O24" s="43">
        <f t="shared" si="0"/>
        <v>6930.549999999999</v>
      </c>
      <c r="P24" s="44">
        <f t="shared" si="11"/>
        <v>106247.69199999998</v>
      </c>
      <c r="Q24" s="44">
        <f t="shared" si="15"/>
        <v>39642.746</v>
      </c>
      <c r="R24" s="45">
        <f t="shared" si="1"/>
        <v>92995.38</v>
      </c>
      <c r="S24" s="41"/>
      <c r="T24" s="41"/>
      <c r="U24" s="41"/>
      <c r="V24" s="42"/>
      <c r="W24" s="41"/>
      <c r="X24" s="41"/>
      <c r="Y24" s="44">
        <f t="shared" si="12"/>
        <v>0</v>
      </c>
      <c r="Z24" s="44">
        <f t="shared" si="2"/>
        <v>39012.695999999996</v>
      </c>
      <c r="AA24" s="44"/>
      <c r="AB24" s="44">
        <f t="shared" si="14"/>
        <v>14818.775999999998</v>
      </c>
      <c r="AC24" s="45">
        <f t="shared" si="3"/>
        <v>7058.959999999999</v>
      </c>
      <c r="AD24" s="42"/>
      <c r="AE24" s="42"/>
      <c r="AF24" s="45"/>
      <c r="AG24" s="44">
        <f t="shared" si="4"/>
        <v>35686.032</v>
      </c>
      <c r="AH24" s="44">
        <v>57500</v>
      </c>
      <c r="AI24" s="44">
        <f t="shared" si="13"/>
        <v>392962.282</v>
      </c>
    </row>
    <row r="25" spans="1:35" s="46" customFormat="1" ht="15.75">
      <c r="A25" s="4" t="s">
        <v>4</v>
      </c>
      <c r="B25" s="4" t="s">
        <v>25</v>
      </c>
      <c r="C25" s="4" t="s">
        <v>2</v>
      </c>
      <c r="D25" s="40">
        <v>1275.5</v>
      </c>
      <c r="E25" s="41">
        <f t="shared" si="5"/>
        <v>5510.16</v>
      </c>
      <c r="F25" s="41">
        <f t="shared" si="6"/>
        <v>18214.14</v>
      </c>
      <c r="G25" s="41">
        <f t="shared" si="7"/>
        <v>18061.079999999998</v>
      </c>
      <c r="H25" s="41">
        <f t="shared" si="8"/>
        <v>3979.56</v>
      </c>
      <c r="I25" s="41">
        <f t="shared" si="9"/>
        <v>918.36</v>
      </c>
      <c r="J25" s="41">
        <f t="shared" si="10"/>
        <v>2755.08</v>
      </c>
      <c r="K25" s="41">
        <f>32*8*4+32*6*2</f>
        <v>1408</v>
      </c>
      <c r="L25" s="42"/>
      <c r="M25" s="42"/>
      <c r="N25" s="42"/>
      <c r="O25" s="43">
        <f t="shared" si="0"/>
        <v>3507.6250000000005</v>
      </c>
      <c r="P25" s="44">
        <f t="shared" si="11"/>
        <v>54354.005</v>
      </c>
      <c r="Q25" s="44">
        <f t="shared" si="15"/>
        <v>20063.615</v>
      </c>
      <c r="R25" s="45">
        <f t="shared" si="1"/>
        <v>47065.95</v>
      </c>
      <c r="S25" s="41"/>
      <c r="T25" s="41"/>
      <c r="U25" s="41"/>
      <c r="V25" s="42"/>
      <c r="W25" s="41"/>
      <c r="X25" s="41"/>
      <c r="Y25" s="44">
        <f t="shared" si="12"/>
        <v>0</v>
      </c>
      <c r="Z25" s="44">
        <f t="shared" si="2"/>
        <v>19744.739999999998</v>
      </c>
      <c r="AA25" s="44"/>
      <c r="AB25" s="44">
        <f t="shared" si="14"/>
        <v>7499.9400000000005</v>
      </c>
      <c r="AC25" s="45">
        <f t="shared" si="3"/>
        <v>3573.8000000000006</v>
      </c>
      <c r="AD25" s="42"/>
      <c r="AE25" s="42"/>
      <c r="AF25" s="45"/>
      <c r="AG25" s="44">
        <f t="shared" si="4"/>
        <v>18061.079999999998</v>
      </c>
      <c r="AH25" s="44"/>
      <c r="AI25" s="44">
        <f t="shared" si="13"/>
        <v>170363.12999999998</v>
      </c>
    </row>
    <row r="26" spans="1:35" s="46" customFormat="1" ht="15.75">
      <c r="A26" s="4" t="s">
        <v>4</v>
      </c>
      <c r="B26" s="4" t="s">
        <v>26</v>
      </c>
      <c r="C26" s="4" t="s">
        <v>2</v>
      </c>
      <c r="D26" s="40">
        <v>1162.3</v>
      </c>
      <c r="E26" s="41">
        <f t="shared" si="5"/>
        <v>5021.1359999999995</v>
      </c>
      <c r="F26" s="41">
        <f t="shared" si="6"/>
        <v>16597.644</v>
      </c>
      <c r="G26" s="41">
        <f t="shared" si="7"/>
        <v>16458.167999999998</v>
      </c>
      <c r="H26" s="41">
        <f t="shared" si="8"/>
        <v>3626.3759999999997</v>
      </c>
      <c r="I26" s="41">
        <f t="shared" si="9"/>
        <v>836.856</v>
      </c>
      <c r="J26" s="41">
        <f t="shared" si="10"/>
        <v>2510.5679999999998</v>
      </c>
      <c r="K26" s="41">
        <f>18*8*4+18*6*2</f>
        <v>792</v>
      </c>
      <c r="L26" s="42"/>
      <c r="M26" s="42"/>
      <c r="N26" s="42"/>
      <c r="O26" s="43">
        <f t="shared" si="0"/>
        <v>3196.325</v>
      </c>
      <c r="P26" s="44">
        <f t="shared" si="11"/>
        <v>49039.07299999999</v>
      </c>
      <c r="Q26" s="44"/>
      <c r="R26" s="45">
        <f t="shared" si="1"/>
        <v>42888.869999999995</v>
      </c>
      <c r="S26" s="41"/>
      <c r="T26" s="41"/>
      <c r="U26" s="41">
        <v>1160</v>
      </c>
      <c r="V26" s="41">
        <f>198*150</f>
        <v>29700</v>
      </c>
      <c r="W26" s="41"/>
      <c r="X26" s="41"/>
      <c r="Y26" s="44">
        <f t="shared" si="12"/>
        <v>30860</v>
      </c>
      <c r="Z26" s="44">
        <f t="shared" si="2"/>
        <v>17992.404</v>
      </c>
      <c r="AA26" s="44"/>
      <c r="AB26" s="44"/>
      <c r="AC26" s="45">
        <f t="shared" si="3"/>
        <v>3256.84</v>
      </c>
      <c r="AD26" s="42"/>
      <c r="AE26" s="42"/>
      <c r="AF26" s="45"/>
      <c r="AG26" s="44">
        <f t="shared" si="4"/>
        <v>16458.167999999998</v>
      </c>
      <c r="AH26" s="44"/>
      <c r="AI26" s="44">
        <f t="shared" si="13"/>
        <v>160495.35499999998</v>
      </c>
    </row>
    <row r="27" spans="1:35" s="46" customFormat="1" ht="15.75">
      <c r="A27" s="4" t="s">
        <v>4</v>
      </c>
      <c r="B27" s="4" t="s">
        <v>27</v>
      </c>
      <c r="C27" s="4" t="s">
        <v>2</v>
      </c>
      <c r="D27" s="40">
        <v>939.8</v>
      </c>
      <c r="E27" s="41">
        <f t="shared" si="5"/>
        <v>4059.9359999999997</v>
      </c>
      <c r="F27" s="41">
        <f t="shared" si="6"/>
        <v>13420.343999999997</v>
      </c>
      <c r="G27" s="41">
        <f t="shared" si="7"/>
        <v>13307.568</v>
      </c>
      <c r="H27" s="41">
        <f t="shared" si="8"/>
        <v>2932.176</v>
      </c>
      <c r="I27" s="41">
        <f t="shared" si="9"/>
        <v>676.656</v>
      </c>
      <c r="J27" s="41">
        <f t="shared" si="10"/>
        <v>2029.9679999999998</v>
      </c>
      <c r="K27" s="41">
        <f>24*8*4+24*6*2</f>
        <v>1056</v>
      </c>
      <c r="L27" s="42">
        <f>144.73*30</f>
        <v>4341.9</v>
      </c>
      <c r="M27" s="42"/>
      <c r="N27" s="42"/>
      <c r="O27" s="43">
        <f t="shared" si="0"/>
        <v>2584.45</v>
      </c>
      <c r="P27" s="44">
        <f t="shared" si="11"/>
        <v>44408.998</v>
      </c>
      <c r="Q27" s="44"/>
      <c r="R27" s="45">
        <f t="shared" si="1"/>
        <v>34678.619999999995</v>
      </c>
      <c r="S27" s="41"/>
      <c r="T27" s="41"/>
      <c r="U27" s="41"/>
      <c r="V27" s="41"/>
      <c r="W27" s="41">
        <f>3*220</f>
        <v>660</v>
      </c>
      <c r="X27" s="41"/>
      <c r="Y27" s="44">
        <f t="shared" si="12"/>
        <v>660</v>
      </c>
      <c r="Z27" s="44">
        <f t="shared" si="2"/>
        <v>14548.104</v>
      </c>
      <c r="AA27" s="44"/>
      <c r="AB27" s="44">
        <f>D27*0.49*12</f>
        <v>5526.023999999999</v>
      </c>
      <c r="AC27" s="45">
        <f t="shared" si="3"/>
        <v>2633.84</v>
      </c>
      <c r="AD27" s="42"/>
      <c r="AE27" s="42"/>
      <c r="AF27" s="45"/>
      <c r="AG27" s="44">
        <f t="shared" si="4"/>
        <v>13307.568</v>
      </c>
      <c r="AH27" s="44"/>
      <c r="AI27" s="44">
        <f t="shared" si="13"/>
        <v>115763.15399999998</v>
      </c>
    </row>
    <row r="28" spans="1:35" s="46" customFormat="1" ht="15.75">
      <c r="A28" s="4" t="s">
        <v>4</v>
      </c>
      <c r="B28" s="4" t="s">
        <v>28</v>
      </c>
      <c r="C28" s="4" t="s">
        <v>2</v>
      </c>
      <c r="D28" s="40">
        <v>3546.1</v>
      </c>
      <c r="E28" s="41">
        <f t="shared" si="5"/>
        <v>15319.152</v>
      </c>
      <c r="F28" s="41">
        <f t="shared" si="6"/>
        <v>50638.30799999999</v>
      </c>
      <c r="G28" s="41">
        <f t="shared" si="7"/>
        <v>50212.77599999999</v>
      </c>
      <c r="H28" s="41">
        <f t="shared" si="8"/>
        <v>11063.832</v>
      </c>
      <c r="I28" s="41">
        <f t="shared" si="9"/>
        <v>2553.192</v>
      </c>
      <c r="J28" s="41">
        <f t="shared" si="10"/>
        <v>7659.576</v>
      </c>
      <c r="K28" s="41">
        <f>80*6*2</f>
        <v>960</v>
      </c>
      <c r="L28" s="42">
        <f>144.73*3</f>
        <v>434.18999999999994</v>
      </c>
      <c r="M28" s="42"/>
      <c r="N28" s="42"/>
      <c r="O28" s="43">
        <f t="shared" si="0"/>
        <v>9751.775</v>
      </c>
      <c r="P28" s="44">
        <f t="shared" si="11"/>
        <v>148592.80099999995</v>
      </c>
      <c r="Q28" s="44">
        <f>D28*1.27*5+D28*1.34*7</f>
        <v>55780.153000000006</v>
      </c>
      <c r="R28" s="45">
        <f t="shared" si="1"/>
        <v>130851.09</v>
      </c>
      <c r="S28" s="41"/>
      <c r="T28" s="41"/>
      <c r="U28" s="41"/>
      <c r="V28" s="41"/>
      <c r="W28" s="41"/>
      <c r="X28" s="41"/>
      <c r="Y28" s="44">
        <f t="shared" si="12"/>
        <v>0</v>
      </c>
      <c r="Z28" s="44">
        <f t="shared" si="2"/>
        <v>54893.628</v>
      </c>
      <c r="AA28" s="44"/>
      <c r="AB28" s="44">
        <f>D28*0.49*12</f>
        <v>20851.068</v>
      </c>
      <c r="AC28" s="45">
        <f t="shared" si="3"/>
        <v>9931.48</v>
      </c>
      <c r="AD28" s="42"/>
      <c r="AE28" s="42"/>
      <c r="AF28" s="45"/>
      <c r="AG28" s="44">
        <f t="shared" si="4"/>
        <v>50212.77599999999</v>
      </c>
      <c r="AH28" s="44">
        <v>57500</v>
      </c>
      <c r="AI28" s="44">
        <f t="shared" si="13"/>
        <v>528612.996</v>
      </c>
    </row>
    <row r="29" spans="1:35" s="46" customFormat="1" ht="15.75">
      <c r="A29" s="4" t="s">
        <v>4</v>
      </c>
      <c r="B29" s="4" t="s">
        <v>3</v>
      </c>
      <c r="C29" s="4" t="s">
        <v>2</v>
      </c>
      <c r="D29" s="40">
        <v>596.4</v>
      </c>
      <c r="E29" s="41">
        <f t="shared" si="5"/>
        <v>2576.448</v>
      </c>
      <c r="F29" s="41">
        <f t="shared" si="6"/>
        <v>8516.591999999999</v>
      </c>
      <c r="G29" s="41">
        <f t="shared" si="7"/>
        <v>8445.024</v>
      </c>
      <c r="H29" s="41">
        <f t="shared" si="8"/>
        <v>1860.768</v>
      </c>
      <c r="I29" s="41">
        <f t="shared" si="9"/>
        <v>429.408</v>
      </c>
      <c r="J29" s="41">
        <f t="shared" si="10"/>
        <v>1288.224</v>
      </c>
      <c r="K29" s="41">
        <f>12*4*8+12*6+12*6</f>
        <v>528</v>
      </c>
      <c r="L29" s="42">
        <f>144.73*18</f>
        <v>2605.14</v>
      </c>
      <c r="M29" s="42"/>
      <c r="N29" s="42">
        <f>596*20.77</f>
        <v>12378.92</v>
      </c>
      <c r="O29" s="43">
        <f t="shared" si="0"/>
        <v>1640.1000000000001</v>
      </c>
      <c r="P29" s="44">
        <f t="shared" si="11"/>
        <v>40268.623999999996</v>
      </c>
      <c r="Q29" s="44"/>
      <c r="R29" s="45">
        <f t="shared" si="1"/>
        <v>22007.159999999996</v>
      </c>
      <c r="S29" s="41"/>
      <c r="T29" s="41"/>
      <c r="U29" s="41"/>
      <c r="V29" s="41">
        <f>114*150</f>
        <v>17100</v>
      </c>
      <c r="W29" s="41"/>
      <c r="X29" s="41"/>
      <c r="Y29" s="44">
        <f t="shared" si="12"/>
        <v>17100</v>
      </c>
      <c r="Z29" s="44">
        <f t="shared" si="2"/>
        <v>9232.272</v>
      </c>
      <c r="AA29" s="44"/>
      <c r="AB29" s="44"/>
      <c r="AC29" s="45">
        <f t="shared" si="3"/>
        <v>1672.3200000000002</v>
      </c>
      <c r="AD29" s="42"/>
      <c r="AE29" s="42"/>
      <c r="AF29" s="45"/>
      <c r="AG29" s="44">
        <f t="shared" si="4"/>
        <v>8445.024</v>
      </c>
      <c r="AH29" s="44">
        <v>57500</v>
      </c>
      <c r="AI29" s="44">
        <f t="shared" si="13"/>
        <v>156225.4</v>
      </c>
    </row>
    <row r="30" spans="1:35" s="46" customFormat="1" ht="15.75">
      <c r="A30" s="4" t="s">
        <v>4</v>
      </c>
      <c r="B30" s="4" t="s">
        <v>29</v>
      </c>
      <c r="C30" s="4" t="s">
        <v>2</v>
      </c>
      <c r="D30" s="40">
        <v>984.7</v>
      </c>
      <c r="E30" s="41">
        <f t="shared" si="5"/>
        <v>4253.904</v>
      </c>
      <c r="F30" s="41">
        <f t="shared" si="6"/>
        <v>14061.516</v>
      </c>
      <c r="G30" s="41">
        <f t="shared" si="7"/>
        <v>13943.351999999999</v>
      </c>
      <c r="H30" s="41">
        <f t="shared" si="8"/>
        <v>3072.2640000000006</v>
      </c>
      <c r="I30" s="41">
        <f t="shared" si="9"/>
        <v>708.984</v>
      </c>
      <c r="J30" s="41">
        <f t="shared" si="10"/>
        <v>2126.952</v>
      </c>
      <c r="K30" s="41">
        <f>18*6*2</f>
        <v>216</v>
      </c>
      <c r="L30" s="42">
        <f>22*144.73</f>
        <v>3184.06</v>
      </c>
      <c r="M30" s="42"/>
      <c r="N30" s="42">
        <f>719*20.77</f>
        <v>14933.63</v>
      </c>
      <c r="O30" s="43">
        <f t="shared" si="0"/>
        <v>2707.925</v>
      </c>
      <c r="P30" s="44">
        <f t="shared" si="11"/>
        <v>59208.58699999999</v>
      </c>
      <c r="Q30" s="44"/>
      <c r="R30" s="45">
        <f t="shared" si="1"/>
        <v>36335.43000000001</v>
      </c>
      <c r="S30" s="41">
        <v>91000</v>
      </c>
      <c r="T30" s="41"/>
      <c r="U30" s="41"/>
      <c r="V30" s="41"/>
      <c r="W30" s="41"/>
      <c r="X30" s="41"/>
      <c r="Y30" s="44">
        <f t="shared" si="12"/>
        <v>91000</v>
      </c>
      <c r="Z30" s="44">
        <f t="shared" si="2"/>
        <v>15243.156000000003</v>
      </c>
      <c r="AA30" s="44"/>
      <c r="AB30" s="44"/>
      <c r="AC30" s="45">
        <f t="shared" si="3"/>
        <v>2759.5600000000004</v>
      </c>
      <c r="AD30" s="42"/>
      <c r="AE30" s="42"/>
      <c r="AF30" s="45"/>
      <c r="AG30" s="44">
        <f t="shared" si="4"/>
        <v>13943.351999999999</v>
      </c>
      <c r="AH30" s="44">
        <v>57500</v>
      </c>
      <c r="AI30" s="44">
        <f t="shared" si="13"/>
        <v>275990.085</v>
      </c>
    </row>
    <row r="31" spans="1:35" s="46" customFormat="1" ht="15.75">
      <c r="A31" s="4" t="s">
        <v>30</v>
      </c>
      <c r="B31" s="4" t="s">
        <v>31</v>
      </c>
      <c r="C31" s="4" t="s">
        <v>2</v>
      </c>
      <c r="D31" s="47">
        <v>2794.4</v>
      </c>
      <c r="E31" s="41">
        <f t="shared" si="5"/>
        <v>12071.808</v>
      </c>
      <c r="F31" s="41">
        <f t="shared" si="6"/>
        <v>39904.032</v>
      </c>
      <c r="G31" s="41">
        <f t="shared" si="7"/>
        <v>39568.704</v>
      </c>
      <c r="H31" s="41">
        <f t="shared" si="8"/>
        <v>8718.528000000002</v>
      </c>
      <c r="I31" s="41">
        <f t="shared" si="9"/>
        <v>2011.9679999999998</v>
      </c>
      <c r="J31" s="41">
        <f t="shared" si="10"/>
        <v>6035.904</v>
      </c>
      <c r="K31" s="41">
        <f>60*6*2</f>
        <v>720</v>
      </c>
      <c r="L31" s="42">
        <f>144.73*70</f>
        <v>10131.099999999999</v>
      </c>
      <c r="M31" s="42"/>
      <c r="N31" s="42"/>
      <c r="O31" s="43">
        <f t="shared" si="0"/>
        <v>7684.6</v>
      </c>
      <c r="P31" s="44">
        <f t="shared" si="11"/>
        <v>126846.644</v>
      </c>
      <c r="Q31" s="44">
        <f>D31*1.27*5+D31*1.34*7</f>
        <v>43955.91200000001</v>
      </c>
      <c r="R31" s="45">
        <f t="shared" si="1"/>
        <v>103113.36000000002</v>
      </c>
      <c r="S31" s="41"/>
      <c r="T31" s="41"/>
      <c r="U31" s="41"/>
      <c r="V31" s="41"/>
      <c r="W31" s="41"/>
      <c r="X31" s="41"/>
      <c r="Y31" s="44">
        <f t="shared" si="12"/>
        <v>0</v>
      </c>
      <c r="Z31" s="44">
        <f t="shared" si="2"/>
        <v>43257.312000000005</v>
      </c>
      <c r="AA31" s="44"/>
      <c r="AB31" s="44">
        <f aca="true" t="shared" si="16" ref="AB31:AB94">D31*0.49*12</f>
        <v>16431.072</v>
      </c>
      <c r="AC31" s="45">
        <f t="shared" si="3"/>
        <v>7826.719999999999</v>
      </c>
      <c r="AD31" s="42"/>
      <c r="AE31" s="42"/>
      <c r="AF31" s="45"/>
      <c r="AG31" s="44">
        <f t="shared" si="4"/>
        <v>39568.704</v>
      </c>
      <c r="AH31" s="44"/>
      <c r="AI31" s="44">
        <f t="shared" si="13"/>
        <v>380999.72399999993</v>
      </c>
    </row>
    <row r="32" spans="1:35" ht="15.75">
      <c r="A32" s="3" t="s">
        <v>30</v>
      </c>
      <c r="B32" s="4" t="s">
        <v>32</v>
      </c>
      <c r="C32" s="3" t="s">
        <v>2</v>
      </c>
      <c r="D32" s="27">
        <v>4357.9</v>
      </c>
      <c r="E32" s="19">
        <f t="shared" si="5"/>
        <v>18826.127999999997</v>
      </c>
      <c r="F32" s="19">
        <f t="shared" si="6"/>
        <v>62230.81199999999</v>
      </c>
      <c r="G32" s="19">
        <f t="shared" si="7"/>
        <v>61707.86399999999</v>
      </c>
      <c r="H32" s="19">
        <f t="shared" si="8"/>
        <v>13596.647999999997</v>
      </c>
      <c r="I32" s="19">
        <f t="shared" si="9"/>
        <v>3137.688</v>
      </c>
      <c r="J32" s="19">
        <f t="shared" si="10"/>
        <v>9413.063999999998</v>
      </c>
      <c r="K32" s="19">
        <f>88*6*2</f>
        <v>1056</v>
      </c>
      <c r="L32" s="8">
        <f>144.73*100</f>
        <v>14472.999999999998</v>
      </c>
      <c r="M32" s="8"/>
      <c r="N32" s="8"/>
      <c r="O32" s="24">
        <f t="shared" si="0"/>
        <v>11984.224999999999</v>
      </c>
      <c r="P32" s="32">
        <f t="shared" si="11"/>
        <v>196425.42899999997</v>
      </c>
      <c r="Q32" s="32">
        <f>D32*1.27*5+D32*1.34*7</f>
        <v>68549.76699999999</v>
      </c>
      <c r="R32" s="34">
        <f t="shared" si="1"/>
        <v>160806.51</v>
      </c>
      <c r="S32" s="19"/>
      <c r="T32" s="19"/>
      <c r="U32" s="19"/>
      <c r="V32" s="19"/>
      <c r="W32" s="19"/>
      <c r="X32" s="19"/>
      <c r="Y32" s="32">
        <f t="shared" si="12"/>
        <v>0</v>
      </c>
      <c r="Z32" s="32">
        <f t="shared" si="2"/>
        <v>67460.292</v>
      </c>
      <c r="AA32" s="32"/>
      <c r="AB32" s="32">
        <f t="shared" si="16"/>
        <v>25624.451999999997</v>
      </c>
      <c r="AC32" s="34">
        <f t="shared" si="3"/>
        <v>12204.519999999999</v>
      </c>
      <c r="AD32" s="8">
        <v>28237.66</v>
      </c>
      <c r="AE32" s="8">
        <v>1737.94</v>
      </c>
      <c r="AF32" s="34"/>
      <c r="AG32" s="32">
        <f t="shared" si="4"/>
        <v>61707.86399999999</v>
      </c>
      <c r="AH32" s="32"/>
      <c r="AI32" s="32">
        <f t="shared" si="13"/>
        <v>592778.8339999999</v>
      </c>
    </row>
    <row r="33" spans="1:35" ht="15.75">
      <c r="A33" s="3" t="s">
        <v>30</v>
      </c>
      <c r="B33" s="4" t="s">
        <v>6</v>
      </c>
      <c r="C33" s="3" t="s">
        <v>2</v>
      </c>
      <c r="D33" s="27">
        <v>2652</v>
      </c>
      <c r="E33" s="19">
        <f t="shared" si="5"/>
        <v>11456.64</v>
      </c>
      <c r="F33" s="19">
        <f t="shared" si="6"/>
        <v>37870.56</v>
      </c>
      <c r="G33" s="19">
        <f t="shared" si="7"/>
        <v>37552.31999999999</v>
      </c>
      <c r="H33" s="19">
        <f t="shared" si="8"/>
        <v>8274.24</v>
      </c>
      <c r="I33" s="19">
        <f t="shared" si="9"/>
        <v>1909.44</v>
      </c>
      <c r="J33" s="19">
        <f t="shared" si="10"/>
        <v>5728.32</v>
      </c>
      <c r="K33" s="19">
        <f>58*6*2</f>
        <v>696</v>
      </c>
      <c r="L33" s="8">
        <f>144.73*68</f>
        <v>9841.64</v>
      </c>
      <c r="M33" s="8"/>
      <c r="N33" s="8"/>
      <c r="O33" s="24">
        <f t="shared" si="0"/>
        <v>7293.000000000001</v>
      </c>
      <c r="P33" s="32">
        <f t="shared" si="11"/>
        <v>120622.15999999999</v>
      </c>
      <c r="Q33" s="32">
        <f>D33*1.27*5+D33*1.34*7</f>
        <v>41715.96000000001</v>
      </c>
      <c r="R33" s="34">
        <f t="shared" si="1"/>
        <v>97858.8</v>
      </c>
      <c r="S33" s="19"/>
      <c r="T33" s="19"/>
      <c r="U33" s="19"/>
      <c r="V33" s="19"/>
      <c r="W33" s="19"/>
      <c r="X33" s="19"/>
      <c r="Y33" s="32">
        <f t="shared" si="12"/>
        <v>0</v>
      </c>
      <c r="Z33" s="32">
        <f t="shared" si="2"/>
        <v>41052.96</v>
      </c>
      <c r="AA33" s="32"/>
      <c r="AB33" s="32">
        <f t="shared" si="16"/>
        <v>15593.76</v>
      </c>
      <c r="AC33" s="34">
        <f t="shared" si="3"/>
        <v>7427.999999999999</v>
      </c>
      <c r="AD33" s="8"/>
      <c r="AE33" s="8"/>
      <c r="AF33" s="34"/>
      <c r="AG33" s="32">
        <f t="shared" si="4"/>
        <v>37552.31999999999</v>
      </c>
      <c r="AH33" s="32"/>
      <c r="AI33" s="32">
        <f t="shared" si="13"/>
        <v>361823.96</v>
      </c>
    </row>
    <row r="34" spans="1:35" ht="15.75">
      <c r="A34" s="3" t="s">
        <v>33</v>
      </c>
      <c r="B34" s="4" t="s">
        <v>34</v>
      </c>
      <c r="C34" s="3" t="s">
        <v>2</v>
      </c>
      <c r="D34" s="26">
        <v>1023.3</v>
      </c>
      <c r="E34" s="19">
        <f t="shared" si="5"/>
        <v>4420.656</v>
      </c>
      <c r="F34" s="19">
        <f t="shared" si="6"/>
        <v>14612.723999999998</v>
      </c>
      <c r="G34" s="19">
        <f t="shared" si="7"/>
        <v>14489.928</v>
      </c>
      <c r="H34" s="19">
        <f t="shared" si="8"/>
        <v>3192.696</v>
      </c>
      <c r="I34" s="19">
        <f t="shared" si="9"/>
        <v>736.776</v>
      </c>
      <c r="J34" s="19">
        <f t="shared" si="10"/>
        <v>2210.328</v>
      </c>
      <c r="K34" s="19">
        <f>9*6*2</f>
        <v>108</v>
      </c>
      <c r="L34" s="8">
        <f>144.73*15</f>
        <v>2170.95</v>
      </c>
      <c r="M34" s="8"/>
      <c r="N34" s="8"/>
      <c r="O34" s="24">
        <f t="shared" si="0"/>
        <v>2814.0750000000003</v>
      </c>
      <c r="P34" s="32">
        <f t="shared" si="11"/>
        <v>44756.132999999994</v>
      </c>
      <c r="Q34" s="32"/>
      <c r="R34" s="34">
        <f t="shared" si="1"/>
        <v>37759.77</v>
      </c>
      <c r="S34" s="19">
        <f>967*80</f>
        <v>77360</v>
      </c>
      <c r="T34" s="19"/>
      <c r="U34" s="19"/>
      <c r="V34" s="19"/>
      <c r="W34" s="19"/>
      <c r="X34" s="19"/>
      <c r="Y34" s="32">
        <f t="shared" si="12"/>
        <v>77360</v>
      </c>
      <c r="Z34" s="32">
        <f t="shared" si="2"/>
        <v>15840.684000000001</v>
      </c>
      <c r="AA34" s="32"/>
      <c r="AB34" s="32">
        <f t="shared" si="16"/>
        <v>6017.004</v>
      </c>
      <c r="AC34" s="34">
        <f t="shared" si="3"/>
        <v>2867.64</v>
      </c>
      <c r="AD34" s="8"/>
      <c r="AE34" s="8"/>
      <c r="AF34" s="34"/>
      <c r="AG34" s="32">
        <f t="shared" si="4"/>
        <v>14489.928</v>
      </c>
      <c r="AH34" s="32"/>
      <c r="AI34" s="32">
        <f t="shared" si="13"/>
        <v>199091.15899999999</v>
      </c>
    </row>
    <row r="35" spans="1:35" ht="15.75">
      <c r="A35" s="3" t="s">
        <v>33</v>
      </c>
      <c r="B35" s="4" t="s">
        <v>32</v>
      </c>
      <c r="C35" s="3" t="s">
        <v>2</v>
      </c>
      <c r="D35" s="26">
        <v>610.3</v>
      </c>
      <c r="E35" s="19">
        <f t="shared" si="5"/>
        <v>2636.4959999999996</v>
      </c>
      <c r="F35" s="19">
        <f t="shared" si="6"/>
        <v>8715.083999999999</v>
      </c>
      <c r="G35" s="19">
        <f t="shared" si="7"/>
        <v>8641.847999999998</v>
      </c>
      <c r="H35" s="19">
        <f t="shared" si="8"/>
        <v>1904.136</v>
      </c>
      <c r="I35" s="19">
        <f t="shared" si="9"/>
        <v>439.41599999999994</v>
      </c>
      <c r="J35" s="19">
        <f t="shared" si="10"/>
        <v>1318.2479999999998</v>
      </c>
      <c r="K35" s="19">
        <f>6*6*2</f>
        <v>72</v>
      </c>
      <c r="L35" s="8"/>
      <c r="M35" s="8"/>
      <c r="N35" s="8"/>
      <c r="O35" s="24">
        <f t="shared" si="0"/>
        <v>1678.325</v>
      </c>
      <c r="P35" s="32">
        <f t="shared" si="11"/>
        <v>25405.552999999996</v>
      </c>
      <c r="Q35" s="32"/>
      <c r="R35" s="34">
        <f t="shared" si="1"/>
        <v>22520.07</v>
      </c>
      <c r="S35" s="19"/>
      <c r="T35" s="19"/>
      <c r="U35" s="19"/>
      <c r="V35" s="19"/>
      <c r="W35" s="19"/>
      <c r="X35" s="19"/>
      <c r="Y35" s="32">
        <f t="shared" si="12"/>
        <v>0</v>
      </c>
      <c r="Z35" s="32">
        <f t="shared" si="2"/>
        <v>9447.444</v>
      </c>
      <c r="AA35" s="32"/>
      <c r="AB35" s="32">
        <f t="shared" si="16"/>
        <v>3588.5639999999994</v>
      </c>
      <c r="AC35" s="34">
        <f t="shared" si="3"/>
        <v>1711.2400000000002</v>
      </c>
      <c r="AD35" s="8"/>
      <c r="AE35" s="8"/>
      <c r="AF35" s="34"/>
      <c r="AG35" s="32">
        <f t="shared" si="4"/>
        <v>8641.847999999998</v>
      </c>
      <c r="AH35" s="32">
        <v>57500</v>
      </c>
      <c r="AI35" s="32">
        <f t="shared" si="13"/>
        <v>128814.71899999998</v>
      </c>
    </row>
    <row r="36" spans="1:35" ht="15.75">
      <c r="A36" s="3" t="s">
        <v>33</v>
      </c>
      <c r="B36" s="4" t="s">
        <v>35</v>
      </c>
      <c r="C36" s="3" t="s">
        <v>2</v>
      </c>
      <c r="D36" s="26">
        <v>1025.2</v>
      </c>
      <c r="E36" s="19">
        <f t="shared" si="5"/>
        <v>4428.864</v>
      </c>
      <c r="F36" s="19">
        <f t="shared" si="6"/>
        <v>14639.856</v>
      </c>
      <c r="G36" s="19">
        <f t="shared" si="7"/>
        <v>14516.831999999999</v>
      </c>
      <c r="H36" s="19">
        <f t="shared" si="8"/>
        <v>3198.6240000000003</v>
      </c>
      <c r="I36" s="19">
        <f t="shared" si="9"/>
        <v>738.144</v>
      </c>
      <c r="J36" s="19">
        <f t="shared" si="10"/>
        <v>2214.432</v>
      </c>
      <c r="K36" s="19">
        <f>8*6*2</f>
        <v>96</v>
      </c>
      <c r="L36" s="8">
        <f>144.73*14</f>
        <v>2026.2199999999998</v>
      </c>
      <c r="M36" s="8"/>
      <c r="N36" s="8"/>
      <c r="O36" s="24">
        <f t="shared" si="0"/>
        <v>2819.3000000000006</v>
      </c>
      <c r="P36" s="32">
        <f t="shared" si="11"/>
        <v>44678.272000000004</v>
      </c>
      <c r="Q36" s="32"/>
      <c r="R36" s="34">
        <f t="shared" si="1"/>
        <v>37829.880000000005</v>
      </c>
      <c r="S36" s="19"/>
      <c r="T36" s="19"/>
      <c r="U36" s="19"/>
      <c r="V36" s="19"/>
      <c r="W36" s="19"/>
      <c r="X36" s="19"/>
      <c r="Y36" s="32">
        <f t="shared" si="12"/>
        <v>0</v>
      </c>
      <c r="Z36" s="32">
        <f t="shared" si="2"/>
        <v>15870.096000000001</v>
      </c>
      <c r="AA36" s="32"/>
      <c r="AB36" s="32">
        <f t="shared" si="16"/>
        <v>6028.176</v>
      </c>
      <c r="AC36" s="34">
        <f t="shared" si="3"/>
        <v>2872.9600000000005</v>
      </c>
      <c r="AD36" s="8"/>
      <c r="AE36" s="8"/>
      <c r="AF36" s="34"/>
      <c r="AG36" s="32">
        <f t="shared" si="4"/>
        <v>14516.831999999999</v>
      </c>
      <c r="AH36" s="32">
        <v>57500</v>
      </c>
      <c r="AI36" s="32">
        <f t="shared" si="13"/>
        <v>179296.21600000001</v>
      </c>
    </row>
    <row r="37" spans="1:35" ht="15.75">
      <c r="A37" s="3" t="s">
        <v>33</v>
      </c>
      <c r="B37" s="4" t="s">
        <v>36</v>
      </c>
      <c r="C37" s="3" t="s">
        <v>2</v>
      </c>
      <c r="D37" s="26">
        <v>1032.3</v>
      </c>
      <c r="E37" s="19">
        <f t="shared" si="5"/>
        <v>4459.536</v>
      </c>
      <c r="F37" s="19">
        <f t="shared" si="6"/>
        <v>14741.243999999999</v>
      </c>
      <c r="G37" s="19">
        <f t="shared" si="7"/>
        <v>14617.367999999999</v>
      </c>
      <c r="H37" s="19">
        <f t="shared" si="8"/>
        <v>3220.7760000000003</v>
      </c>
      <c r="I37" s="19">
        <f t="shared" si="9"/>
        <v>743.256</v>
      </c>
      <c r="J37" s="19">
        <f t="shared" si="10"/>
        <v>2229.768</v>
      </c>
      <c r="K37" s="19">
        <f>8*8*4+8*6*2</f>
        <v>352</v>
      </c>
      <c r="L37" s="8">
        <f>144.73*14</f>
        <v>2026.2199999999998</v>
      </c>
      <c r="M37" s="8"/>
      <c r="N37" s="8"/>
      <c r="O37" s="24">
        <f t="shared" si="0"/>
        <v>2838.825</v>
      </c>
      <c r="P37" s="32">
        <f t="shared" si="11"/>
        <v>45228.993</v>
      </c>
      <c r="Q37" s="32"/>
      <c r="R37" s="34">
        <f t="shared" si="1"/>
        <v>38091.869999999995</v>
      </c>
      <c r="S37" s="19">
        <f>824*80</f>
        <v>65920</v>
      </c>
      <c r="T37" s="19"/>
      <c r="U37" s="19"/>
      <c r="V37" s="19"/>
      <c r="W37" s="19"/>
      <c r="X37" s="19"/>
      <c r="Y37" s="32">
        <f t="shared" si="12"/>
        <v>65920</v>
      </c>
      <c r="Z37" s="32">
        <f t="shared" si="2"/>
        <v>15980.003999999999</v>
      </c>
      <c r="AA37" s="32"/>
      <c r="AB37" s="32">
        <f t="shared" si="16"/>
        <v>6069.923999999999</v>
      </c>
      <c r="AC37" s="34">
        <f t="shared" si="3"/>
        <v>2892.84</v>
      </c>
      <c r="AD37" s="8"/>
      <c r="AE37" s="8"/>
      <c r="AF37" s="34"/>
      <c r="AG37" s="32">
        <f t="shared" si="4"/>
        <v>14617.367999999999</v>
      </c>
      <c r="AH37" s="32">
        <v>57500</v>
      </c>
      <c r="AI37" s="32">
        <f t="shared" si="13"/>
        <v>246300.99899999998</v>
      </c>
    </row>
    <row r="38" spans="1:35" ht="15.75">
      <c r="A38" s="3" t="s">
        <v>33</v>
      </c>
      <c r="B38" s="4" t="s">
        <v>37</v>
      </c>
      <c r="C38" s="3" t="s">
        <v>2</v>
      </c>
      <c r="D38" s="26">
        <v>832.3</v>
      </c>
      <c r="E38" s="19">
        <f t="shared" si="5"/>
        <v>3595.536</v>
      </c>
      <c r="F38" s="19">
        <f t="shared" si="6"/>
        <v>11885.243999999999</v>
      </c>
      <c r="G38" s="19">
        <f t="shared" si="7"/>
        <v>11785.367999999999</v>
      </c>
      <c r="H38" s="19">
        <f t="shared" si="8"/>
        <v>2596.776</v>
      </c>
      <c r="I38" s="19">
        <f t="shared" si="9"/>
        <v>599.256</v>
      </c>
      <c r="J38" s="19">
        <f t="shared" si="10"/>
        <v>1797.768</v>
      </c>
      <c r="K38" s="19">
        <f>24*8*4+24*6*2</f>
        <v>1056</v>
      </c>
      <c r="L38" s="8">
        <f>144.73*32</f>
        <v>4631.36</v>
      </c>
      <c r="M38" s="8"/>
      <c r="N38" s="8"/>
      <c r="O38" s="24">
        <f t="shared" si="0"/>
        <v>2288.825</v>
      </c>
      <c r="P38" s="32">
        <f t="shared" si="11"/>
        <v>40236.133</v>
      </c>
      <c r="Q38" s="32"/>
      <c r="R38" s="34">
        <f t="shared" si="1"/>
        <v>30711.869999999995</v>
      </c>
      <c r="S38" s="19" t="s">
        <v>187</v>
      </c>
      <c r="T38" s="19"/>
      <c r="U38" s="19"/>
      <c r="V38" s="19">
        <f>180*150</f>
        <v>27000</v>
      </c>
      <c r="W38" s="19"/>
      <c r="X38" s="19"/>
      <c r="Y38" s="32">
        <f t="shared" si="12"/>
        <v>27000</v>
      </c>
      <c r="Z38" s="32">
        <f t="shared" si="2"/>
        <v>12884.003999999999</v>
      </c>
      <c r="AA38" s="32"/>
      <c r="AB38" s="32">
        <f t="shared" si="16"/>
        <v>4893.924</v>
      </c>
      <c r="AC38" s="34">
        <f t="shared" si="3"/>
        <v>2332.84</v>
      </c>
      <c r="AD38" s="8"/>
      <c r="AE38" s="8"/>
      <c r="AF38" s="34"/>
      <c r="AG38" s="32">
        <f t="shared" si="4"/>
        <v>11785.367999999999</v>
      </c>
      <c r="AH38" s="32">
        <v>57500</v>
      </c>
      <c r="AI38" s="32">
        <f t="shared" si="13"/>
        <v>187344.139</v>
      </c>
    </row>
    <row r="39" spans="1:35" ht="15.75">
      <c r="A39" s="3" t="s">
        <v>33</v>
      </c>
      <c r="B39" s="4" t="s">
        <v>38</v>
      </c>
      <c r="C39" s="3" t="s">
        <v>2</v>
      </c>
      <c r="D39" s="26">
        <v>618.4</v>
      </c>
      <c r="E39" s="19">
        <f t="shared" si="5"/>
        <v>2671.488</v>
      </c>
      <c r="F39" s="19">
        <f t="shared" si="6"/>
        <v>8830.752</v>
      </c>
      <c r="G39" s="19">
        <f t="shared" si="7"/>
        <v>8756.544</v>
      </c>
      <c r="H39" s="19">
        <f t="shared" si="8"/>
        <v>1929.408</v>
      </c>
      <c r="I39" s="19">
        <f t="shared" si="9"/>
        <v>445.248</v>
      </c>
      <c r="J39" s="19">
        <f t="shared" si="10"/>
        <v>1335.744</v>
      </c>
      <c r="K39" s="19">
        <f>12*8*4+12*6*2</f>
        <v>528</v>
      </c>
      <c r="L39" s="8">
        <f>144.73*18</f>
        <v>2605.14</v>
      </c>
      <c r="M39" s="8"/>
      <c r="N39" s="8"/>
      <c r="O39" s="24">
        <f t="shared" si="0"/>
        <v>1700.6</v>
      </c>
      <c r="P39" s="32">
        <f t="shared" si="11"/>
        <v>28802.923999999995</v>
      </c>
      <c r="Q39" s="32"/>
      <c r="R39" s="34">
        <f t="shared" si="1"/>
        <v>22818.96</v>
      </c>
      <c r="S39" s="19"/>
      <c r="T39" s="19"/>
      <c r="U39" s="19"/>
      <c r="V39" s="19"/>
      <c r="W39" s="19"/>
      <c r="X39" s="19"/>
      <c r="Y39" s="32">
        <f t="shared" si="12"/>
        <v>0</v>
      </c>
      <c r="Z39" s="32">
        <f t="shared" si="2"/>
        <v>9572.832</v>
      </c>
      <c r="AA39" s="32"/>
      <c r="AB39" s="32">
        <f t="shared" si="16"/>
        <v>3636.1919999999996</v>
      </c>
      <c r="AC39" s="34">
        <f t="shared" si="3"/>
        <v>1733.92</v>
      </c>
      <c r="AD39" s="8"/>
      <c r="AE39" s="8"/>
      <c r="AF39" s="34"/>
      <c r="AG39" s="32">
        <f t="shared" si="4"/>
        <v>8756.544</v>
      </c>
      <c r="AH39" s="32">
        <v>57500</v>
      </c>
      <c r="AI39" s="32">
        <f t="shared" si="13"/>
        <v>132821.37199999997</v>
      </c>
    </row>
    <row r="40" spans="1:35" ht="15.75">
      <c r="A40" s="3" t="s">
        <v>33</v>
      </c>
      <c r="B40" s="4" t="s">
        <v>39</v>
      </c>
      <c r="C40" s="3" t="s">
        <v>2</v>
      </c>
      <c r="D40" s="26">
        <v>849.4</v>
      </c>
      <c r="E40" s="19">
        <f t="shared" si="5"/>
        <v>3669.408</v>
      </c>
      <c r="F40" s="19">
        <f t="shared" si="6"/>
        <v>12129.431999999999</v>
      </c>
      <c r="G40" s="19">
        <f t="shared" si="7"/>
        <v>12027.503999999999</v>
      </c>
      <c r="H40" s="19">
        <f t="shared" si="8"/>
        <v>2650.1279999999997</v>
      </c>
      <c r="I40" s="19">
        <f t="shared" si="9"/>
        <v>611.568</v>
      </c>
      <c r="J40" s="19">
        <f t="shared" si="10"/>
        <v>1834.704</v>
      </c>
      <c r="K40" s="19">
        <f>12*6*2</f>
        <v>144</v>
      </c>
      <c r="L40" s="8"/>
      <c r="M40" s="8"/>
      <c r="N40" s="8"/>
      <c r="O40" s="24">
        <f t="shared" si="0"/>
        <v>2335.85</v>
      </c>
      <c r="P40" s="32">
        <f t="shared" si="11"/>
        <v>35402.594</v>
      </c>
      <c r="Q40" s="32"/>
      <c r="R40" s="34">
        <f t="shared" si="1"/>
        <v>31342.86</v>
      </c>
      <c r="S40" s="19"/>
      <c r="T40" s="19"/>
      <c r="U40" s="19"/>
      <c r="V40" s="19"/>
      <c r="W40" s="19">
        <f>21*220</f>
        <v>4620</v>
      </c>
      <c r="X40" s="19">
        <v>20000</v>
      </c>
      <c r="Y40" s="32">
        <f t="shared" si="12"/>
        <v>24620</v>
      </c>
      <c r="Z40" s="32">
        <f t="shared" si="2"/>
        <v>13148.712000000001</v>
      </c>
      <c r="AA40" s="32"/>
      <c r="AB40" s="32">
        <f t="shared" si="16"/>
        <v>4994.472</v>
      </c>
      <c r="AC40" s="34">
        <f t="shared" si="3"/>
        <v>2380.72</v>
      </c>
      <c r="AD40" s="8"/>
      <c r="AE40" s="8"/>
      <c r="AF40" s="34"/>
      <c r="AG40" s="32">
        <f t="shared" si="4"/>
        <v>12027.503999999999</v>
      </c>
      <c r="AH40" s="32">
        <v>57500</v>
      </c>
      <c r="AI40" s="32">
        <f t="shared" si="13"/>
        <v>181416.862</v>
      </c>
    </row>
    <row r="41" spans="1:35" ht="15.75">
      <c r="A41" s="3" t="s">
        <v>33</v>
      </c>
      <c r="B41" s="4" t="s">
        <v>40</v>
      </c>
      <c r="C41" s="3" t="s">
        <v>2</v>
      </c>
      <c r="D41" s="26">
        <v>952.6</v>
      </c>
      <c r="E41" s="19">
        <f t="shared" si="5"/>
        <v>4115.232</v>
      </c>
      <c r="F41" s="19">
        <f t="shared" si="6"/>
        <v>13603.128</v>
      </c>
      <c r="G41" s="19">
        <f t="shared" si="7"/>
        <v>13488.815999999999</v>
      </c>
      <c r="H41" s="19">
        <f t="shared" si="8"/>
        <v>2972.112</v>
      </c>
      <c r="I41" s="19">
        <f t="shared" si="9"/>
        <v>685.872</v>
      </c>
      <c r="J41" s="19">
        <f t="shared" si="10"/>
        <v>2057.616</v>
      </c>
      <c r="K41" s="19">
        <f>24*8*4+24*6*2</f>
        <v>1056</v>
      </c>
      <c r="L41" s="8">
        <f>144.73*30</f>
        <v>4341.9</v>
      </c>
      <c r="M41" s="8"/>
      <c r="N41" s="8"/>
      <c r="O41" s="24">
        <f t="shared" si="0"/>
        <v>2619.6500000000005</v>
      </c>
      <c r="P41" s="32">
        <f t="shared" si="11"/>
        <v>44940.32600000001</v>
      </c>
      <c r="Q41" s="32"/>
      <c r="R41" s="34">
        <f t="shared" si="1"/>
        <v>35150.94</v>
      </c>
      <c r="S41" s="19"/>
      <c r="T41" s="19"/>
      <c r="U41" s="19"/>
      <c r="V41" s="19"/>
      <c r="W41" s="19"/>
      <c r="X41" s="19"/>
      <c r="Y41" s="32">
        <f t="shared" si="12"/>
        <v>0</v>
      </c>
      <c r="Z41" s="32">
        <f t="shared" si="2"/>
        <v>14746.248</v>
      </c>
      <c r="AA41" s="32"/>
      <c r="AB41" s="32">
        <f t="shared" si="16"/>
        <v>5601.2880000000005</v>
      </c>
      <c r="AC41" s="34">
        <f t="shared" si="3"/>
        <v>2669.6800000000003</v>
      </c>
      <c r="AD41" s="8"/>
      <c r="AE41" s="8"/>
      <c r="AF41" s="34"/>
      <c r="AG41" s="32">
        <f t="shared" si="4"/>
        <v>13488.815999999999</v>
      </c>
      <c r="AH41" s="32">
        <v>57500</v>
      </c>
      <c r="AI41" s="32">
        <f t="shared" si="13"/>
        <v>174097.29799999998</v>
      </c>
    </row>
    <row r="42" spans="1:35" ht="15.75">
      <c r="A42" s="3" t="s">
        <v>33</v>
      </c>
      <c r="B42" s="4" t="s">
        <v>9</v>
      </c>
      <c r="C42" s="3" t="s">
        <v>2</v>
      </c>
      <c r="D42" s="26">
        <v>597.2</v>
      </c>
      <c r="E42" s="19">
        <f t="shared" si="5"/>
        <v>2579.9040000000005</v>
      </c>
      <c r="F42" s="19">
        <f t="shared" si="6"/>
        <v>8528.016</v>
      </c>
      <c r="G42" s="19">
        <f t="shared" si="7"/>
        <v>8456.352</v>
      </c>
      <c r="H42" s="19">
        <f t="shared" si="8"/>
        <v>1863.2640000000001</v>
      </c>
      <c r="I42" s="19">
        <f t="shared" si="9"/>
        <v>429.98400000000004</v>
      </c>
      <c r="J42" s="19">
        <f t="shared" si="10"/>
        <v>1289.9520000000002</v>
      </c>
      <c r="K42" s="19">
        <f>12*6*2</f>
        <v>144</v>
      </c>
      <c r="L42" s="8"/>
      <c r="M42" s="8"/>
      <c r="N42" s="8"/>
      <c r="O42" s="24">
        <f t="shared" si="0"/>
        <v>1642.3000000000002</v>
      </c>
      <c r="P42" s="32">
        <f t="shared" si="11"/>
        <v>24933.772</v>
      </c>
      <c r="Q42" s="32"/>
      <c r="R42" s="34">
        <f t="shared" si="1"/>
        <v>22036.68</v>
      </c>
      <c r="S42" s="19"/>
      <c r="T42" s="19"/>
      <c r="U42" s="19"/>
      <c r="V42" s="19"/>
      <c r="W42" s="19">
        <f>2*220</f>
        <v>440</v>
      </c>
      <c r="X42" s="19">
        <v>50000</v>
      </c>
      <c r="Y42" s="32">
        <f t="shared" si="12"/>
        <v>50440</v>
      </c>
      <c r="Z42" s="32">
        <f t="shared" si="2"/>
        <v>9244.656</v>
      </c>
      <c r="AA42" s="32"/>
      <c r="AB42" s="32">
        <f t="shared" si="16"/>
        <v>3511.5360000000005</v>
      </c>
      <c r="AC42" s="34">
        <f t="shared" si="3"/>
        <v>1674.5600000000002</v>
      </c>
      <c r="AD42" s="8"/>
      <c r="AE42" s="8"/>
      <c r="AF42" s="34"/>
      <c r="AG42" s="32">
        <f t="shared" si="4"/>
        <v>8456.352</v>
      </c>
      <c r="AH42" s="32">
        <v>57500</v>
      </c>
      <c r="AI42" s="32">
        <f t="shared" si="13"/>
        <v>177797.556</v>
      </c>
    </row>
    <row r="43" spans="1:35" ht="15.75">
      <c r="A43" s="3" t="s">
        <v>33</v>
      </c>
      <c r="B43" s="4" t="s">
        <v>11</v>
      </c>
      <c r="C43" s="3" t="s">
        <v>2</v>
      </c>
      <c r="D43" s="26">
        <v>713.7</v>
      </c>
      <c r="E43" s="19">
        <f t="shared" si="5"/>
        <v>3083.184</v>
      </c>
      <c r="F43" s="19">
        <f t="shared" si="6"/>
        <v>10191.636</v>
      </c>
      <c r="G43" s="19">
        <f t="shared" si="7"/>
        <v>10105.992</v>
      </c>
      <c r="H43" s="19">
        <f t="shared" si="8"/>
        <v>2226.744</v>
      </c>
      <c r="I43" s="19">
        <f t="shared" si="9"/>
        <v>513.864</v>
      </c>
      <c r="J43" s="19">
        <f t="shared" si="10"/>
        <v>1541.592</v>
      </c>
      <c r="K43" s="19">
        <f>17*8*4+17*6*2</f>
        <v>748</v>
      </c>
      <c r="L43" s="8">
        <f>144.73*3</f>
        <v>434.18999999999994</v>
      </c>
      <c r="M43" s="8"/>
      <c r="N43" s="8">
        <f>492*20.77</f>
        <v>10218.84</v>
      </c>
      <c r="O43" s="24">
        <f t="shared" si="0"/>
        <v>1962.6750000000004</v>
      </c>
      <c r="P43" s="32">
        <f t="shared" si="11"/>
        <v>41026.717000000004</v>
      </c>
      <c r="Q43" s="32"/>
      <c r="R43" s="34">
        <f t="shared" si="1"/>
        <v>26335.530000000006</v>
      </c>
      <c r="S43" s="19"/>
      <c r="T43" s="19"/>
      <c r="U43" s="19"/>
      <c r="V43" s="19">
        <f>116*150</f>
        <v>17400</v>
      </c>
      <c r="W43" s="19"/>
      <c r="X43" s="19"/>
      <c r="Y43" s="32">
        <f t="shared" si="12"/>
        <v>17400</v>
      </c>
      <c r="Z43" s="32">
        <f t="shared" si="2"/>
        <v>11048.076000000001</v>
      </c>
      <c r="AA43" s="32"/>
      <c r="AB43" s="32">
        <f t="shared" si="16"/>
        <v>4196.5560000000005</v>
      </c>
      <c r="AC43" s="34">
        <f t="shared" si="3"/>
        <v>2000.7600000000002</v>
      </c>
      <c r="AD43" s="8"/>
      <c r="AE43" s="8"/>
      <c r="AF43" s="34"/>
      <c r="AG43" s="32">
        <f t="shared" si="4"/>
        <v>10105.992</v>
      </c>
      <c r="AH43" s="32">
        <v>57500</v>
      </c>
      <c r="AI43" s="32">
        <f t="shared" si="13"/>
        <v>169613.631</v>
      </c>
    </row>
    <row r="44" spans="1:35" ht="15.75">
      <c r="A44" s="3" t="s">
        <v>33</v>
      </c>
      <c r="B44" s="4" t="s">
        <v>12</v>
      </c>
      <c r="C44" s="3" t="s">
        <v>2</v>
      </c>
      <c r="D44" s="26">
        <v>3113.8</v>
      </c>
      <c r="E44" s="19">
        <f t="shared" si="5"/>
        <v>13451.616000000002</v>
      </c>
      <c r="F44" s="19">
        <f t="shared" si="6"/>
        <v>44465.064</v>
      </c>
      <c r="G44" s="19">
        <f t="shared" si="7"/>
        <v>44091.408</v>
      </c>
      <c r="H44" s="19">
        <f t="shared" si="8"/>
        <v>9715.056</v>
      </c>
      <c r="I44" s="19">
        <f t="shared" si="9"/>
        <v>2241.936</v>
      </c>
      <c r="J44" s="19">
        <f t="shared" si="10"/>
        <v>6725.808000000001</v>
      </c>
      <c r="K44" s="19">
        <f>68*6*2</f>
        <v>816</v>
      </c>
      <c r="L44" s="8">
        <f>144.73*3</f>
        <v>434.18999999999994</v>
      </c>
      <c r="M44" s="8"/>
      <c r="N44" s="8"/>
      <c r="O44" s="24">
        <f t="shared" si="0"/>
        <v>8562.95</v>
      </c>
      <c r="P44" s="32">
        <f t="shared" si="11"/>
        <v>130504.028</v>
      </c>
      <c r="Q44" s="32">
        <f>D44*1.27*5+D44*1.34*7</f>
        <v>48980.07400000001</v>
      </c>
      <c r="R44" s="34">
        <f t="shared" si="1"/>
        <v>114899.22000000003</v>
      </c>
      <c r="S44" s="19"/>
      <c r="T44" s="19"/>
      <c r="U44" s="19"/>
      <c r="V44" s="19"/>
      <c r="W44" s="19"/>
      <c r="X44" s="19">
        <v>5000</v>
      </c>
      <c r="Y44" s="32">
        <f t="shared" si="12"/>
        <v>5000</v>
      </c>
      <c r="Z44" s="32">
        <f t="shared" si="2"/>
        <v>48201.624</v>
      </c>
      <c r="AA44" s="32"/>
      <c r="AB44" s="32">
        <f t="shared" si="16"/>
        <v>18309.144</v>
      </c>
      <c r="AC44" s="34">
        <f t="shared" si="3"/>
        <v>8721.04</v>
      </c>
      <c r="AD44" s="8"/>
      <c r="AE44" s="8"/>
      <c r="AF44" s="34"/>
      <c r="AG44" s="32">
        <f t="shared" si="4"/>
        <v>44091.408</v>
      </c>
      <c r="AH44" s="32">
        <v>57500</v>
      </c>
      <c r="AI44" s="32">
        <f t="shared" si="13"/>
        <v>476206.53800000006</v>
      </c>
    </row>
    <row r="45" spans="1:35" ht="15.75">
      <c r="A45" s="3" t="s">
        <v>33</v>
      </c>
      <c r="B45" s="4" t="s">
        <v>41</v>
      </c>
      <c r="C45" s="3" t="s">
        <v>2</v>
      </c>
      <c r="D45" s="26">
        <v>722.1</v>
      </c>
      <c r="E45" s="19">
        <f t="shared" si="5"/>
        <v>3119.472</v>
      </c>
      <c r="F45" s="19">
        <f t="shared" si="6"/>
        <v>10311.588</v>
      </c>
      <c r="G45" s="19">
        <f t="shared" si="7"/>
        <v>10224.936</v>
      </c>
      <c r="H45" s="19">
        <f t="shared" si="8"/>
        <v>2252.952</v>
      </c>
      <c r="I45" s="19">
        <f t="shared" si="9"/>
        <v>519.912</v>
      </c>
      <c r="J45" s="19">
        <f t="shared" si="10"/>
        <v>1559.736</v>
      </c>
      <c r="K45" s="19">
        <f>17*8*4+17*6*2</f>
        <v>748</v>
      </c>
      <c r="L45" s="8">
        <f>144.73*2</f>
        <v>289.46</v>
      </c>
      <c r="M45" s="8"/>
      <c r="N45" s="8"/>
      <c r="O45" s="24">
        <f t="shared" si="0"/>
        <v>1985.775</v>
      </c>
      <c r="P45" s="32">
        <f t="shared" si="11"/>
        <v>31011.831000000002</v>
      </c>
      <c r="Q45" s="32"/>
      <c r="R45" s="34">
        <f t="shared" si="1"/>
        <v>26645.490000000005</v>
      </c>
      <c r="S45" s="19"/>
      <c r="T45" s="19"/>
      <c r="U45" s="19"/>
      <c r="V45" s="19"/>
      <c r="W45" s="19"/>
      <c r="X45" s="19"/>
      <c r="Y45" s="32">
        <f t="shared" si="12"/>
        <v>0</v>
      </c>
      <c r="Z45" s="32">
        <f t="shared" si="2"/>
        <v>11178.108</v>
      </c>
      <c r="AA45" s="32"/>
      <c r="AB45" s="32">
        <f t="shared" si="16"/>
        <v>4245.948</v>
      </c>
      <c r="AC45" s="34">
        <f t="shared" si="3"/>
        <v>2024.2800000000002</v>
      </c>
      <c r="AD45" s="8"/>
      <c r="AE45" s="8"/>
      <c r="AF45" s="34"/>
      <c r="AG45" s="32">
        <f t="shared" si="4"/>
        <v>10224.936</v>
      </c>
      <c r="AH45" s="32">
        <v>57500</v>
      </c>
      <c r="AI45" s="32">
        <f t="shared" si="13"/>
        <v>142830.593</v>
      </c>
    </row>
    <row r="46" spans="1:35" ht="15.75">
      <c r="A46" s="3" t="s">
        <v>33</v>
      </c>
      <c r="B46" s="4" t="s">
        <v>42</v>
      </c>
      <c r="C46" s="3" t="s">
        <v>2</v>
      </c>
      <c r="D46" s="26">
        <v>1254.7</v>
      </c>
      <c r="E46" s="19">
        <f t="shared" si="5"/>
        <v>5420.304</v>
      </c>
      <c r="F46" s="19">
        <f t="shared" si="6"/>
        <v>17917.116</v>
      </c>
      <c r="G46" s="19">
        <f t="shared" si="7"/>
        <v>17766.552</v>
      </c>
      <c r="H46" s="19">
        <f t="shared" si="8"/>
        <v>3914.6640000000007</v>
      </c>
      <c r="I46" s="19">
        <f t="shared" si="9"/>
        <v>903.384</v>
      </c>
      <c r="J46" s="19">
        <f t="shared" si="10"/>
        <v>2710.152</v>
      </c>
      <c r="K46" s="19">
        <f>32*8*4+32*6*2</f>
        <v>1408</v>
      </c>
      <c r="L46" s="8">
        <f>144.73*3</f>
        <v>434.18999999999994</v>
      </c>
      <c r="M46" s="8"/>
      <c r="N46" s="8"/>
      <c r="O46" s="24">
        <f t="shared" si="0"/>
        <v>3450.425</v>
      </c>
      <c r="P46" s="32">
        <f t="shared" si="11"/>
        <v>53924.787000000004</v>
      </c>
      <c r="Q46" s="32">
        <f>D46*1.27*5+D46*1.34*7</f>
        <v>19736.431</v>
      </c>
      <c r="R46" s="34">
        <f t="shared" si="1"/>
        <v>46298.43000000001</v>
      </c>
      <c r="S46" s="19"/>
      <c r="T46" s="19"/>
      <c r="U46" s="19"/>
      <c r="V46" s="19"/>
      <c r="W46" s="19"/>
      <c r="X46" s="19"/>
      <c r="Y46" s="32">
        <f t="shared" si="12"/>
        <v>0</v>
      </c>
      <c r="Z46" s="32">
        <f t="shared" si="2"/>
        <v>19422.756</v>
      </c>
      <c r="AA46" s="32"/>
      <c r="AB46" s="32">
        <f t="shared" si="16"/>
        <v>7377.636</v>
      </c>
      <c r="AC46" s="34">
        <f t="shared" si="3"/>
        <v>3515.5600000000004</v>
      </c>
      <c r="AD46" s="8"/>
      <c r="AE46" s="8"/>
      <c r="AF46" s="34"/>
      <c r="AG46" s="32">
        <f t="shared" si="4"/>
        <v>17766.552</v>
      </c>
      <c r="AH46" s="32">
        <v>57500</v>
      </c>
      <c r="AI46" s="32">
        <f t="shared" si="13"/>
        <v>225542.152</v>
      </c>
    </row>
    <row r="47" spans="1:35" ht="15.75">
      <c r="A47" s="3" t="s">
        <v>33</v>
      </c>
      <c r="B47" s="4" t="s">
        <v>43</v>
      </c>
      <c r="C47" s="3" t="s">
        <v>2</v>
      </c>
      <c r="D47" s="26">
        <v>963.7</v>
      </c>
      <c r="E47" s="19">
        <f t="shared" si="5"/>
        <v>4163.184</v>
      </c>
      <c r="F47" s="19">
        <f t="shared" si="6"/>
        <v>13761.636000000002</v>
      </c>
      <c r="G47" s="19">
        <f t="shared" si="7"/>
        <v>13645.991999999998</v>
      </c>
      <c r="H47" s="19">
        <f t="shared" si="8"/>
        <v>3006.744</v>
      </c>
      <c r="I47" s="19">
        <f t="shared" si="9"/>
        <v>693.864</v>
      </c>
      <c r="J47" s="19">
        <f t="shared" si="10"/>
        <v>2081.592</v>
      </c>
      <c r="K47" s="19">
        <f>24*8*4+24*6*2</f>
        <v>1056</v>
      </c>
      <c r="L47" s="8">
        <f>144.73*30</f>
        <v>4341.9</v>
      </c>
      <c r="M47" s="8"/>
      <c r="N47" s="8"/>
      <c r="O47" s="24">
        <f t="shared" si="0"/>
        <v>2650.175</v>
      </c>
      <c r="P47" s="32">
        <f t="shared" si="11"/>
        <v>45401.08700000001</v>
      </c>
      <c r="Q47" s="32"/>
      <c r="R47" s="34">
        <f t="shared" si="1"/>
        <v>35560.530000000006</v>
      </c>
      <c r="S47" s="19"/>
      <c r="T47" s="19"/>
      <c r="U47" s="19"/>
      <c r="V47" s="19">
        <f>190*150</f>
        <v>28500</v>
      </c>
      <c r="W47" s="19"/>
      <c r="X47" s="19"/>
      <c r="Y47" s="32">
        <f t="shared" si="12"/>
        <v>28500</v>
      </c>
      <c r="Z47" s="32">
        <f t="shared" si="2"/>
        <v>14918.076000000001</v>
      </c>
      <c r="AA47" s="32"/>
      <c r="AB47" s="32">
        <f t="shared" si="16"/>
        <v>5666.5560000000005</v>
      </c>
      <c r="AC47" s="34">
        <f t="shared" si="3"/>
        <v>2700.76</v>
      </c>
      <c r="AD47" s="8"/>
      <c r="AE47" s="8"/>
      <c r="AF47" s="34"/>
      <c r="AG47" s="32">
        <f t="shared" si="4"/>
        <v>13645.991999999998</v>
      </c>
      <c r="AH47" s="32">
        <v>57500</v>
      </c>
      <c r="AI47" s="32">
        <f t="shared" si="13"/>
        <v>203893.00100000002</v>
      </c>
    </row>
    <row r="48" spans="1:35" ht="15.75">
      <c r="A48" s="3" t="s">
        <v>33</v>
      </c>
      <c r="B48" s="4" t="s">
        <v>13</v>
      </c>
      <c r="C48" s="3" t="s">
        <v>2</v>
      </c>
      <c r="D48" s="26">
        <v>3165</v>
      </c>
      <c r="E48" s="19">
        <f t="shared" si="5"/>
        <v>13672.8</v>
      </c>
      <c r="F48" s="19">
        <f t="shared" si="6"/>
        <v>45196.2</v>
      </c>
      <c r="G48" s="19">
        <f t="shared" si="7"/>
        <v>44816.399999999994</v>
      </c>
      <c r="H48" s="19">
        <f t="shared" si="8"/>
        <v>9874.8</v>
      </c>
      <c r="I48" s="19">
        <f t="shared" si="9"/>
        <v>2278.8</v>
      </c>
      <c r="J48" s="19">
        <f t="shared" si="10"/>
        <v>6836.4</v>
      </c>
      <c r="K48" s="19">
        <f>72*6*2</f>
        <v>864</v>
      </c>
      <c r="L48" s="8">
        <f>144.73*2</f>
        <v>289.46</v>
      </c>
      <c r="M48" s="8"/>
      <c r="N48" s="8"/>
      <c r="O48" s="24">
        <f t="shared" si="0"/>
        <v>8703.750000000002</v>
      </c>
      <c r="P48" s="32">
        <f t="shared" si="11"/>
        <v>132532.61000000002</v>
      </c>
      <c r="Q48" s="32">
        <f>D48*1.27*5+D48*1.34*7</f>
        <v>49785.450000000004</v>
      </c>
      <c r="R48" s="34">
        <f t="shared" si="1"/>
        <v>116788.5</v>
      </c>
      <c r="S48" s="19"/>
      <c r="T48" s="19"/>
      <c r="U48" s="19"/>
      <c r="V48" s="19"/>
      <c r="W48" s="19">
        <f>27*220</f>
        <v>5940</v>
      </c>
      <c r="X48" s="19"/>
      <c r="Y48" s="32">
        <f t="shared" si="12"/>
        <v>5940</v>
      </c>
      <c r="Z48" s="32">
        <f t="shared" si="2"/>
        <v>48994.2</v>
      </c>
      <c r="AA48" s="32"/>
      <c r="AB48" s="32">
        <f t="shared" si="16"/>
        <v>18610.199999999997</v>
      </c>
      <c r="AC48" s="34">
        <f t="shared" si="3"/>
        <v>8864.4</v>
      </c>
      <c r="AD48" s="8"/>
      <c r="AE48" s="8"/>
      <c r="AF48" s="34"/>
      <c r="AG48" s="32">
        <f t="shared" si="4"/>
        <v>44816.399999999994</v>
      </c>
      <c r="AH48" s="32">
        <v>57500</v>
      </c>
      <c r="AI48" s="32">
        <f t="shared" si="13"/>
        <v>483831.7600000001</v>
      </c>
    </row>
    <row r="49" spans="1:35" ht="15.75">
      <c r="A49" s="3" t="s">
        <v>33</v>
      </c>
      <c r="B49" s="4" t="s">
        <v>16</v>
      </c>
      <c r="C49" s="3" t="s">
        <v>2</v>
      </c>
      <c r="D49" s="26">
        <v>2786.5</v>
      </c>
      <c r="E49" s="19">
        <f t="shared" si="5"/>
        <v>12037.68</v>
      </c>
      <c r="F49" s="19">
        <f t="shared" si="6"/>
        <v>39791.22</v>
      </c>
      <c r="G49" s="19">
        <f t="shared" si="7"/>
        <v>39456.84</v>
      </c>
      <c r="H49" s="19">
        <f t="shared" si="8"/>
        <v>8693.880000000001</v>
      </c>
      <c r="I49" s="19">
        <f t="shared" si="9"/>
        <v>2006.28</v>
      </c>
      <c r="J49" s="19">
        <f t="shared" si="10"/>
        <v>6018.84</v>
      </c>
      <c r="K49" s="19">
        <f>60*8+60*6*2</f>
        <v>1200</v>
      </c>
      <c r="L49" s="8">
        <f>144.73*2</f>
        <v>289.46</v>
      </c>
      <c r="M49" s="8"/>
      <c r="N49" s="8"/>
      <c r="O49" s="24">
        <f t="shared" si="0"/>
        <v>7662.875</v>
      </c>
      <c r="P49" s="32">
        <f t="shared" si="11"/>
        <v>117157.075</v>
      </c>
      <c r="Q49" s="32">
        <f>D49*1.27*5+D49*1.34*7</f>
        <v>43831.645000000004</v>
      </c>
      <c r="R49" s="34">
        <f t="shared" si="1"/>
        <v>102821.85</v>
      </c>
      <c r="S49" s="19"/>
      <c r="T49" s="19"/>
      <c r="U49" s="19"/>
      <c r="V49" s="19"/>
      <c r="W49" s="19"/>
      <c r="X49" s="19"/>
      <c r="Y49" s="32">
        <f t="shared" si="12"/>
        <v>0</v>
      </c>
      <c r="Z49" s="32">
        <f t="shared" si="2"/>
        <v>43135.020000000004</v>
      </c>
      <c r="AA49" s="32"/>
      <c r="AB49" s="32">
        <f t="shared" si="16"/>
        <v>16384.62</v>
      </c>
      <c r="AC49" s="34">
        <f t="shared" si="3"/>
        <v>7804.6</v>
      </c>
      <c r="AD49" s="8"/>
      <c r="AE49" s="8"/>
      <c r="AF49" s="34"/>
      <c r="AG49" s="32">
        <f t="shared" si="4"/>
        <v>39456.84</v>
      </c>
      <c r="AH49" s="32">
        <v>57500</v>
      </c>
      <c r="AI49" s="32">
        <f t="shared" si="13"/>
        <v>428091.65</v>
      </c>
    </row>
    <row r="50" spans="1:35" ht="15.75">
      <c r="A50" s="3" t="s">
        <v>33</v>
      </c>
      <c r="B50" s="4" t="s">
        <v>44</v>
      </c>
      <c r="C50" s="3" t="s">
        <v>2</v>
      </c>
      <c r="D50" s="26">
        <v>618.1</v>
      </c>
      <c r="E50" s="19">
        <f t="shared" si="5"/>
        <v>2670.192</v>
      </c>
      <c r="F50" s="19">
        <f t="shared" si="6"/>
        <v>8826.468</v>
      </c>
      <c r="G50" s="19">
        <f t="shared" si="7"/>
        <v>8752.295999999998</v>
      </c>
      <c r="H50" s="19">
        <f t="shared" si="8"/>
        <v>1928.4720000000002</v>
      </c>
      <c r="I50" s="19">
        <f t="shared" si="9"/>
        <v>445.032</v>
      </c>
      <c r="J50" s="19">
        <f t="shared" si="10"/>
        <v>1335.096</v>
      </c>
      <c r="K50" s="19">
        <f>12*8*4+12*6*2</f>
        <v>528</v>
      </c>
      <c r="L50" s="8"/>
      <c r="M50" s="8"/>
      <c r="N50" s="8"/>
      <c r="O50" s="24">
        <f t="shared" si="0"/>
        <v>1699.775</v>
      </c>
      <c r="P50" s="32">
        <f t="shared" si="11"/>
        <v>26185.331000000002</v>
      </c>
      <c r="Q50" s="32"/>
      <c r="R50" s="34">
        <f t="shared" si="1"/>
        <v>22807.890000000003</v>
      </c>
      <c r="S50" s="19">
        <f>158*700</f>
        <v>110600</v>
      </c>
      <c r="T50" s="19"/>
      <c r="U50" s="19"/>
      <c r="V50" s="19"/>
      <c r="W50" s="19"/>
      <c r="X50" s="19"/>
      <c r="Y50" s="32">
        <f t="shared" si="12"/>
        <v>110600</v>
      </c>
      <c r="Z50" s="32">
        <f t="shared" si="2"/>
        <v>9568.188</v>
      </c>
      <c r="AA50" s="32"/>
      <c r="AB50" s="32">
        <f t="shared" si="16"/>
        <v>3634.4280000000003</v>
      </c>
      <c r="AC50" s="34">
        <f t="shared" si="3"/>
        <v>1733.0800000000002</v>
      </c>
      <c r="AD50" s="8"/>
      <c r="AE50" s="8"/>
      <c r="AF50" s="34"/>
      <c r="AG50" s="32">
        <f t="shared" si="4"/>
        <v>8752.295999999998</v>
      </c>
      <c r="AH50" s="32">
        <v>57500</v>
      </c>
      <c r="AI50" s="32">
        <f t="shared" si="13"/>
        <v>240781.21300000002</v>
      </c>
    </row>
    <row r="51" spans="1:35" ht="15.75">
      <c r="A51" s="3" t="s">
        <v>45</v>
      </c>
      <c r="B51" s="4" t="s">
        <v>35</v>
      </c>
      <c r="C51" s="3" t="s">
        <v>2</v>
      </c>
      <c r="D51" s="26">
        <v>458.7</v>
      </c>
      <c r="E51" s="19">
        <f t="shared" si="5"/>
        <v>1981.5839999999998</v>
      </c>
      <c r="F51" s="19">
        <f t="shared" si="6"/>
        <v>6550.235999999999</v>
      </c>
      <c r="G51" s="19">
        <f t="shared" si="7"/>
        <v>6495.191999999999</v>
      </c>
      <c r="H51" s="19">
        <f t="shared" si="8"/>
        <v>1431.144</v>
      </c>
      <c r="I51" s="19">
        <f t="shared" si="9"/>
        <v>330.264</v>
      </c>
      <c r="J51" s="19">
        <f t="shared" si="10"/>
        <v>990.7919999999999</v>
      </c>
      <c r="K51" s="19">
        <f>6*8*4+6*6*2</f>
        <v>264</v>
      </c>
      <c r="L51" s="8">
        <f>144.73*3</f>
        <v>434.18999999999994</v>
      </c>
      <c r="M51" s="8"/>
      <c r="N51" s="8"/>
      <c r="O51" s="24">
        <f t="shared" si="0"/>
        <v>1261.4250000000002</v>
      </c>
      <c r="P51" s="32">
        <f t="shared" si="11"/>
        <v>19738.826999999997</v>
      </c>
      <c r="Q51" s="32"/>
      <c r="R51" s="34">
        <f t="shared" si="1"/>
        <v>16926.03</v>
      </c>
      <c r="S51" s="19"/>
      <c r="T51" s="19"/>
      <c r="U51" s="19"/>
      <c r="V51" s="19"/>
      <c r="W51" s="19"/>
      <c r="X51" s="19"/>
      <c r="Y51" s="32">
        <f t="shared" si="12"/>
        <v>0</v>
      </c>
      <c r="Z51" s="32">
        <f t="shared" si="2"/>
        <v>7100.6759999999995</v>
      </c>
      <c r="AA51" s="32"/>
      <c r="AB51" s="32">
        <f t="shared" si="16"/>
        <v>2697.156</v>
      </c>
      <c r="AC51" s="34">
        <f t="shared" si="3"/>
        <v>1286.7600000000002</v>
      </c>
      <c r="AD51" s="8"/>
      <c r="AE51" s="8"/>
      <c r="AF51" s="34"/>
      <c r="AG51" s="32">
        <f t="shared" si="4"/>
        <v>6495.191999999999</v>
      </c>
      <c r="AH51" s="32">
        <v>57500</v>
      </c>
      <c r="AI51" s="32">
        <f t="shared" si="13"/>
        <v>111744.641</v>
      </c>
    </row>
    <row r="52" spans="1:35" ht="15.75">
      <c r="A52" s="3" t="s">
        <v>45</v>
      </c>
      <c r="B52" s="4" t="s">
        <v>17</v>
      </c>
      <c r="C52" s="3" t="s">
        <v>2</v>
      </c>
      <c r="D52" s="26">
        <v>638.7</v>
      </c>
      <c r="E52" s="19">
        <f t="shared" si="5"/>
        <v>2759.184</v>
      </c>
      <c r="F52" s="19">
        <f t="shared" si="6"/>
        <v>9120.636</v>
      </c>
      <c r="G52" s="19">
        <f t="shared" si="7"/>
        <v>9043.992</v>
      </c>
      <c r="H52" s="19">
        <f t="shared" si="8"/>
        <v>1992.7440000000001</v>
      </c>
      <c r="I52" s="19">
        <f t="shared" si="9"/>
        <v>459.86400000000003</v>
      </c>
      <c r="J52" s="19">
        <f t="shared" si="10"/>
        <v>1379.592</v>
      </c>
      <c r="K52" s="19">
        <f>12*8+12*6*2</f>
        <v>240</v>
      </c>
      <c r="L52" s="8">
        <f>144.73*3</f>
        <v>434.18999999999994</v>
      </c>
      <c r="M52" s="8"/>
      <c r="N52" s="8">
        <f>610*20.77</f>
        <v>12669.699999999999</v>
      </c>
      <c r="O52" s="24">
        <f t="shared" si="0"/>
        <v>1756.4250000000002</v>
      </c>
      <c r="P52" s="32">
        <f t="shared" si="11"/>
        <v>39856.327</v>
      </c>
      <c r="Q52" s="32"/>
      <c r="R52" s="34">
        <f t="shared" si="1"/>
        <v>23568.030000000002</v>
      </c>
      <c r="S52" s="19"/>
      <c r="T52" s="19"/>
      <c r="U52" s="19"/>
      <c r="V52" s="19">
        <f>90*150</f>
        <v>13500</v>
      </c>
      <c r="W52" s="19">
        <f>5*220</f>
        <v>1100</v>
      </c>
      <c r="X52" s="19"/>
      <c r="Y52" s="32">
        <f t="shared" si="12"/>
        <v>14600</v>
      </c>
      <c r="Z52" s="32">
        <f t="shared" si="2"/>
        <v>9887.076000000001</v>
      </c>
      <c r="AA52" s="32"/>
      <c r="AB52" s="32">
        <f t="shared" si="16"/>
        <v>3755.5560000000005</v>
      </c>
      <c r="AC52" s="34">
        <f t="shared" si="3"/>
        <v>1790.7600000000002</v>
      </c>
      <c r="AD52" s="8"/>
      <c r="AE52" s="8"/>
      <c r="AF52" s="34"/>
      <c r="AG52" s="32">
        <f t="shared" si="4"/>
        <v>9043.992</v>
      </c>
      <c r="AH52" s="32">
        <v>57500</v>
      </c>
      <c r="AI52" s="32">
        <f t="shared" si="13"/>
        <v>160001.74099999998</v>
      </c>
    </row>
    <row r="53" spans="1:35" ht="15.75">
      <c r="A53" s="3" t="s">
        <v>45</v>
      </c>
      <c r="B53" s="4" t="s">
        <v>46</v>
      </c>
      <c r="C53" s="3" t="s">
        <v>2</v>
      </c>
      <c r="D53" s="26">
        <v>555.7</v>
      </c>
      <c r="E53" s="19">
        <f t="shared" si="5"/>
        <v>2400.6240000000003</v>
      </c>
      <c r="F53" s="19">
        <f t="shared" si="6"/>
        <v>7935.396000000001</v>
      </c>
      <c r="G53" s="19">
        <f t="shared" si="7"/>
        <v>7868.7119999999995</v>
      </c>
      <c r="H53" s="19">
        <f t="shared" si="8"/>
        <v>1733.7840000000003</v>
      </c>
      <c r="I53" s="19">
        <f t="shared" si="9"/>
        <v>400.104</v>
      </c>
      <c r="J53" s="19">
        <f t="shared" si="10"/>
        <v>1200.3120000000001</v>
      </c>
      <c r="K53" s="19">
        <f>9*8*4+9*6*2</f>
        <v>396</v>
      </c>
      <c r="L53" s="8">
        <f>144.73*3</f>
        <v>434.18999999999994</v>
      </c>
      <c r="M53" s="8"/>
      <c r="N53" s="8">
        <f>501*20.77</f>
        <v>10405.77</v>
      </c>
      <c r="O53" s="24">
        <f t="shared" si="0"/>
        <v>1528.1750000000002</v>
      </c>
      <c r="P53" s="32">
        <f t="shared" si="11"/>
        <v>34303.067</v>
      </c>
      <c r="Q53" s="32"/>
      <c r="R53" s="34">
        <f t="shared" si="1"/>
        <v>20505.33</v>
      </c>
      <c r="S53" s="19"/>
      <c r="T53" s="19"/>
      <c r="U53" s="19"/>
      <c r="V53" s="19">
        <f>90*150</f>
        <v>13500</v>
      </c>
      <c r="W53" s="19">
        <f>2.2*220</f>
        <v>484.00000000000006</v>
      </c>
      <c r="X53" s="19">
        <v>5000</v>
      </c>
      <c r="Y53" s="32">
        <f t="shared" si="12"/>
        <v>18984</v>
      </c>
      <c r="Z53" s="32">
        <f t="shared" si="2"/>
        <v>8602.236</v>
      </c>
      <c r="AA53" s="32"/>
      <c r="AB53" s="32">
        <f t="shared" si="16"/>
        <v>3267.516</v>
      </c>
      <c r="AC53" s="34">
        <f t="shared" si="3"/>
        <v>1558.3600000000004</v>
      </c>
      <c r="AD53" s="8"/>
      <c r="AE53" s="8"/>
      <c r="AF53" s="34"/>
      <c r="AG53" s="32">
        <f t="shared" si="4"/>
        <v>7868.7119999999995</v>
      </c>
      <c r="AH53" s="32">
        <v>57500</v>
      </c>
      <c r="AI53" s="32">
        <f t="shared" si="13"/>
        <v>152589.22100000002</v>
      </c>
    </row>
    <row r="54" spans="1:35" ht="15.75">
      <c r="A54" s="3" t="s">
        <v>45</v>
      </c>
      <c r="B54" s="4" t="s">
        <v>47</v>
      </c>
      <c r="C54" s="3" t="s">
        <v>2</v>
      </c>
      <c r="D54" s="26">
        <v>366.8</v>
      </c>
      <c r="E54" s="19">
        <f t="shared" si="5"/>
        <v>1584.576</v>
      </c>
      <c r="F54" s="19">
        <f t="shared" si="6"/>
        <v>5237.904</v>
      </c>
      <c r="G54" s="19">
        <f t="shared" si="7"/>
        <v>5193.888</v>
      </c>
      <c r="H54" s="19">
        <f t="shared" si="8"/>
        <v>1144.4160000000002</v>
      </c>
      <c r="I54" s="19">
        <f t="shared" si="9"/>
        <v>264.096</v>
      </c>
      <c r="J54" s="19">
        <f t="shared" si="10"/>
        <v>792.288</v>
      </c>
      <c r="K54" s="19">
        <f>8*8*4+8*6*2</f>
        <v>352</v>
      </c>
      <c r="L54" s="8">
        <f>144.73*12</f>
        <v>1736.7599999999998</v>
      </c>
      <c r="M54" s="8"/>
      <c r="N54" s="8"/>
      <c r="O54" s="24">
        <f t="shared" si="0"/>
        <v>1008.7</v>
      </c>
      <c r="P54" s="32">
        <f t="shared" si="11"/>
        <v>17314.628</v>
      </c>
      <c r="Q54" s="32"/>
      <c r="R54" s="34">
        <f t="shared" si="1"/>
        <v>13534.920000000002</v>
      </c>
      <c r="S54" s="19"/>
      <c r="T54" s="19"/>
      <c r="U54" s="19">
        <v>74532</v>
      </c>
      <c r="V54" s="19"/>
      <c r="W54" s="19"/>
      <c r="X54" s="19">
        <v>2000</v>
      </c>
      <c r="Y54" s="32">
        <f t="shared" si="12"/>
        <v>76532</v>
      </c>
      <c r="Z54" s="32">
        <f t="shared" si="2"/>
        <v>5678.064</v>
      </c>
      <c r="AA54" s="32"/>
      <c r="AB54" s="32">
        <f t="shared" si="16"/>
        <v>2156.784</v>
      </c>
      <c r="AC54" s="34">
        <f t="shared" si="3"/>
        <v>1029.44</v>
      </c>
      <c r="AD54" s="8"/>
      <c r="AE54" s="8"/>
      <c r="AF54" s="34"/>
      <c r="AG54" s="32">
        <f t="shared" si="4"/>
        <v>5193.888</v>
      </c>
      <c r="AH54" s="32">
        <v>57500</v>
      </c>
      <c r="AI54" s="32">
        <f t="shared" si="13"/>
        <v>178939.72400000002</v>
      </c>
    </row>
    <row r="55" spans="1:35" ht="15.75">
      <c r="A55" s="3" t="s">
        <v>45</v>
      </c>
      <c r="B55" s="4" t="s">
        <v>48</v>
      </c>
      <c r="C55" s="3" t="s">
        <v>2</v>
      </c>
      <c r="D55" s="26">
        <v>582.9</v>
      </c>
      <c r="E55" s="19">
        <f t="shared" si="5"/>
        <v>2518.1279999999997</v>
      </c>
      <c r="F55" s="19">
        <f t="shared" si="6"/>
        <v>8323.812</v>
      </c>
      <c r="G55" s="19">
        <f t="shared" si="7"/>
        <v>8253.863999999998</v>
      </c>
      <c r="H55" s="19">
        <f t="shared" si="8"/>
        <v>1818.6480000000001</v>
      </c>
      <c r="I55" s="19">
        <f t="shared" si="9"/>
        <v>419.688</v>
      </c>
      <c r="J55" s="19">
        <f t="shared" si="10"/>
        <v>1259.0639999999999</v>
      </c>
      <c r="K55" s="19">
        <f>10*8+10*6*2</f>
        <v>200</v>
      </c>
      <c r="L55" s="8"/>
      <c r="M55" s="8"/>
      <c r="N55" s="8"/>
      <c r="O55" s="24">
        <f t="shared" si="0"/>
        <v>1602.9750000000001</v>
      </c>
      <c r="P55" s="32">
        <f t="shared" si="11"/>
        <v>24396.178999999993</v>
      </c>
      <c r="Q55" s="32"/>
      <c r="R55" s="34">
        <f t="shared" si="1"/>
        <v>21509.01</v>
      </c>
      <c r="S55" s="19">
        <f>513.7*80+43*700</f>
        <v>71196</v>
      </c>
      <c r="T55" s="19"/>
      <c r="U55" s="19"/>
      <c r="V55" s="19"/>
      <c r="W55" s="19">
        <f>2*220</f>
        <v>440</v>
      </c>
      <c r="X55" s="19"/>
      <c r="Y55" s="32">
        <f t="shared" si="12"/>
        <v>71636</v>
      </c>
      <c r="Z55" s="32">
        <f t="shared" si="2"/>
        <v>9023.292000000001</v>
      </c>
      <c r="AA55" s="32"/>
      <c r="AB55" s="32">
        <f t="shared" si="16"/>
        <v>3427.4519999999998</v>
      </c>
      <c r="AC55" s="34">
        <f t="shared" si="3"/>
        <v>1634.52</v>
      </c>
      <c r="AD55" s="8"/>
      <c r="AE55" s="8"/>
      <c r="AF55" s="34"/>
      <c r="AG55" s="32">
        <f t="shared" si="4"/>
        <v>8253.863999999998</v>
      </c>
      <c r="AH55" s="32">
        <v>57500</v>
      </c>
      <c r="AI55" s="32">
        <f t="shared" si="13"/>
        <v>197380.31699999998</v>
      </c>
    </row>
    <row r="56" spans="1:35" ht="15.75">
      <c r="A56" s="3" t="s">
        <v>45</v>
      </c>
      <c r="B56" s="4" t="s">
        <v>49</v>
      </c>
      <c r="C56" s="3" t="s">
        <v>2</v>
      </c>
      <c r="D56" s="26">
        <v>2139</v>
      </c>
      <c r="E56" s="19">
        <f t="shared" si="5"/>
        <v>9240.48</v>
      </c>
      <c r="F56" s="19">
        <f t="shared" si="6"/>
        <v>30544.92</v>
      </c>
      <c r="G56" s="19">
        <f t="shared" si="7"/>
        <v>30288.239999999998</v>
      </c>
      <c r="H56" s="19">
        <f t="shared" si="8"/>
        <v>6673.68</v>
      </c>
      <c r="I56" s="19">
        <f t="shared" si="9"/>
        <v>1540.08</v>
      </c>
      <c r="J56" s="19">
        <f t="shared" si="10"/>
        <v>4620.24</v>
      </c>
      <c r="K56" s="19">
        <f>39*8+39*6*2</f>
        <v>780</v>
      </c>
      <c r="L56" s="8">
        <f>144.73*3</f>
        <v>434.18999999999994</v>
      </c>
      <c r="M56" s="8"/>
      <c r="N56" s="8">
        <f>1279*20.77</f>
        <v>26564.829999999998</v>
      </c>
      <c r="O56" s="24">
        <f t="shared" si="0"/>
        <v>5882.25</v>
      </c>
      <c r="P56" s="32">
        <f t="shared" si="11"/>
        <v>116568.90999999999</v>
      </c>
      <c r="Q56" s="32"/>
      <c r="R56" s="34">
        <f t="shared" si="1"/>
        <v>78929.1</v>
      </c>
      <c r="S56" s="19">
        <f>683.3*80+52*700</f>
        <v>91064</v>
      </c>
      <c r="T56" s="19"/>
      <c r="U56" s="19"/>
      <c r="V56" s="19"/>
      <c r="W56" s="19">
        <f>3.4*220</f>
        <v>748</v>
      </c>
      <c r="X56" s="19"/>
      <c r="Y56" s="32">
        <f t="shared" si="12"/>
        <v>91812</v>
      </c>
      <c r="Z56" s="32">
        <f t="shared" si="2"/>
        <v>33111.72</v>
      </c>
      <c r="AA56" s="32"/>
      <c r="AB56" s="32">
        <f t="shared" si="16"/>
        <v>12577.32</v>
      </c>
      <c r="AC56" s="34">
        <f t="shared" si="3"/>
        <v>5991.599999999999</v>
      </c>
      <c r="AD56" s="8"/>
      <c r="AE56" s="8"/>
      <c r="AF56" s="34"/>
      <c r="AG56" s="32">
        <f t="shared" si="4"/>
        <v>30288.239999999998</v>
      </c>
      <c r="AH56" s="32">
        <v>57500</v>
      </c>
      <c r="AI56" s="32">
        <f t="shared" si="13"/>
        <v>426778.88999999996</v>
      </c>
    </row>
    <row r="57" spans="1:35" ht="15.75">
      <c r="A57" s="3" t="s">
        <v>45</v>
      </c>
      <c r="B57" s="4" t="s">
        <v>50</v>
      </c>
      <c r="C57" s="3" t="s">
        <v>2</v>
      </c>
      <c r="D57" s="26">
        <v>751.7</v>
      </c>
      <c r="E57" s="19">
        <f t="shared" si="5"/>
        <v>3247.344</v>
      </c>
      <c r="F57" s="19">
        <f t="shared" si="6"/>
        <v>10734.276</v>
      </c>
      <c r="G57" s="19">
        <f t="shared" si="7"/>
        <v>10644.072</v>
      </c>
      <c r="H57" s="19">
        <f t="shared" si="8"/>
        <v>2345.304</v>
      </c>
      <c r="I57" s="19">
        <f t="shared" si="9"/>
        <v>541.224</v>
      </c>
      <c r="J57" s="19">
        <f t="shared" si="10"/>
        <v>1623.672</v>
      </c>
      <c r="K57" s="19">
        <f>9*6*2</f>
        <v>108</v>
      </c>
      <c r="L57" s="8">
        <f>144.73*2</f>
        <v>289.46</v>
      </c>
      <c r="M57" s="8"/>
      <c r="N57" s="8"/>
      <c r="O57" s="24">
        <f t="shared" si="0"/>
        <v>2067.175</v>
      </c>
      <c r="P57" s="32">
        <f t="shared" si="11"/>
        <v>31600.526999999995</v>
      </c>
      <c r="Q57" s="32"/>
      <c r="R57" s="34">
        <f t="shared" si="1"/>
        <v>27737.730000000003</v>
      </c>
      <c r="S57" s="19"/>
      <c r="T57" s="19"/>
      <c r="U57" s="19"/>
      <c r="V57" s="19"/>
      <c r="W57" s="19">
        <f>7*220</f>
        <v>1540</v>
      </c>
      <c r="X57" s="19"/>
      <c r="Y57" s="32">
        <f t="shared" si="12"/>
        <v>1540</v>
      </c>
      <c r="Z57" s="32">
        <f t="shared" si="2"/>
        <v>11636.316</v>
      </c>
      <c r="AA57" s="32"/>
      <c r="AB57" s="32">
        <f t="shared" si="16"/>
        <v>4419.996</v>
      </c>
      <c r="AC57" s="34">
        <f t="shared" si="3"/>
        <v>2107.1600000000003</v>
      </c>
      <c r="AD57" s="8"/>
      <c r="AE57" s="8"/>
      <c r="AF57" s="34"/>
      <c r="AG57" s="32">
        <f t="shared" si="4"/>
        <v>10644.072</v>
      </c>
      <c r="AH57" s="32">
        <v>57500</v>
      </c>
      <c r="AI57" s="32">
        <f t="shared" si="13"/>
        <v>147185.801</v>
      </c>
    </row>
    <row r="58" spans="1:35" ht="15.75">
      <c r="A58" s="3" t="s">
        <v>45</v>
      </c>
      <c r="B58" s="4" t="s">
        <v>51</v>
      </c>
      <c r="C58" s="3" t="s">
        <v>2</v>
      </c>
      <c r="D58" s="26">
        <v>836.2</v>
      </c>
      <c r="E58" s="19">
        <f t="shared" si="5"/>
        <v>3612.384</v>
      </c>
      <c r="F58" s="19">
        <f t="shared" si="6"/>
        <v>11940.936</v>
      </c>
      <c r="G58" s="19">
        <f t="shared" si="7"/>
        <v>11840.592</v>
      </c>
      <c r="H58" s="19">
        <f t="shared" si="8"/>
        <v>2608.944</v>
      </c>
      <c r="I58" s="19">
        <f t="shared" si="9"/>
        <v>602.0640000000001</v>
      </c>
      <c r="J58" s="19">
        <f t="shared" si="10"/>
        <v>1806.192</v>
      </c>
      <c r="K58" s="19">
        <f>16*8*4+16*6*2</f>
        <v>704</v>
      </c>
      <c r="L58" s="8">
        <f>144.73*3</f>
        <v>434.18999999999994</v>
      </c>
      <c r="M58" s="8"/>
      <c r="N58" s="8"/>
      <c r="O58" s="24">
        <f t="shared" si="0"/>
        <v>2299.55</v>
      </c>
      <c r="P58" s="32">
        <f t="shared" si="11"/>
        <v>35848.852</v>
      </c>
      <c r="Q58" s="32"/>
      <c r="R58" s="34">
        <f t="shared" si="1"/>
        <v>30855.780000000006</v>
      </c>
      <c r="S58" s="19"/>
      <c r="T58" s="19"/>
      <c r="U58" s="19"/>
      <c r="V58" s="19"/>
      <c r="W58" s="19"/>
      <c r="X58" s="19"/>
      <c r="Y58" s="32">
        <f t="shared" si="12"/>
        <v>0</v>
      </c>
      <c r="Z58" s="32">
        <f t="shared" si="2"/>
        <v>12944.376</v>
      </c>
      <c r="AA58" s="32"/>
      <c r="AB58" s="32">
        <f t="shared" si="16"/>
        <v>4916.856</v>
      </c>
      <c r="AC58" s="34">
        <f t="shared" si="3"/>
        <v>2343.76</v>
      </c>
      <c r="AD58" s="8"/>
      <c r="AE58" s="8"/>
      <c r="AF58" s="34"/>
      <c r="AG58" s="32">
        <f t="shared" si="4"/>
        <v>11840.592</v>
      </c>
      <c r="AH58" s="32">
        <v>57500</v>
      </c>
      <c r="AI58" s="32">
        <f t="shared" si="13"/>
        <v>156250.21600000001</v>
      </c>
    </row>
    <row r="59" spans="1:35" ht="15.75">
      <c r="A59" s="3" t="s">
        <v>45</v>
      </c>
      <c r="B59" s="4" t="s">
        <v>52</v>
      </c>
      <c r="C59" s="3" t="s">
        <v>2</v>
      </c>
      <c r="D59" s="26">
        <v>1330.7</v>
      </c>
      <c r="E59" s="19">
        <f t="shared" si="5"/>
        <v>5748.624</v>
      </c>
      <c r="F59" s="19">
        <f t="shared" si="6"/>
        <v>19002.396</v>
      </c>
      <c r="G59" s="19">
        <f t="shared" si="7"/>
        <v>18842.712</v>
      </c>
      <c r="H59" s="19">
        <f t="shared" si="8"/>
        <v>4151.784000000001</v>
      </c>
      <c r="I59" s="19">
        <f t="shared" si="9"/>
        <v>958.104</v>
      </c>
      <c r="J59" s="19">
        <f t="shared" si="10"/>
        <v>2874.312</v>
      </c>
      <c r="K59" s="19">
        <f>18*8*4+18*6*2</f>
        <v>792</v>
      </c>
      <c r="L59" s="8">
        <f>144.73*3</f>
        <v>434.18999999999994</v>
      </c>
      <c r="M59" s="8"/>
      <c r="N59" s="8">
        <f>931*20.77</f>
        <v>19336.87</v>
      </c>
      <c r="O59" s="24">
        <f t="shared" si="0"/>
        <v>3659.4250000000006</v>
      </c>
      <c r="P59" s="32">
        <f t="shared" si="11"/>
        <v>75800.417</v>
      </c>
      <c r="Q59" s="32"/>
      <c r="R59" s="34">
        <f t="shared" si="1"/>
        <v>49102.83</v>
      </c>
      <c r="S59" s="19"/>
      <c r="T59" s="19"/>
      <c r="U59" s="19"/>
      <c r="V59" s="19">
        <f>156*150</f>
        <v>23400</v>
      </c>
      <c r="W59" s="19"/>
      <c r="X59" s="19"/>
      <c r="Y59" s="32">
        <f t="shared" si="12"/>
        <v>23400</v>
      </c>
      <c r="Z59" s="32">
        <f t="shared" si="2"/>
        <v>20599.236</v>
      </c>
      <c r="AA59" s="32"/>
      <c r="AB59" s="32">
        <f t="shared" si="16"/>
        <v>7824.516</v>
      </c>
      <c r="AC59" s="34">
        <f t="shared" si="3"/>
        <v>3728.3600000000006</v>
      </c>
      <c r="AD59" s="8"/>
      <c r="AE59" s="8"/>
      <c r="AF59" s="34"/>
      <c r="AG59" s="32">
        <f t="shared" si="4"/>
        <v>18842.712</v>
      </c>
      <c r="AH59" s="32">
        <v>57500</v>
      </c>
      <c r="AI59" s="32">
        <f t="shared" si="13"/>
        <v>256798.071</v>
      </c>
    </row>
    <row r="60" spans="1:35" ht="15.75">
      <c r="A60" s="3" t="s">
        <v>45</v>
      </c>
      <c r="B60" s="4" t="s">
        <v>53</v>
      </c>
      <c r="C60" s="3" t="s">
        <v>2</v>
      </c>
      <c r="D60" s="26">
        <v>1251.5</v>
      </c>
      <c r="E60" s="19">
        <f t="shared" si="5"/>
        <v>5406.48</v>
      </c>
      <c r="F60" s="19">
        <f t="shared" si="6"/>
        <v>17871.42</v>
      </c>
      <c r="G60" s="19">
        <f t="shared" si="7"/>
        <v>17721.239999999998</v>
      </c>
      <c r="H60" s="19">
        <f t="shared" si="8"/>
        <v>3904.68</v>
      </c>
      <c r="I60" s="19">
        <f t="shared" si="9"/>
        <v>901.08</v>
      </c>
      <c r="J60" s="19">
        <f t="shared" si="10"/>
        <v>2703.24</v>
      </c>
      <c r="K60" s="19">
        <f>24*8*4+24*6*2</f>
        <v>1056</v>
      </c>
      <c r="L60" s="8">
        <f>144.73*3</f>
        <v>434.18999999999994</v>
      </c>
      <c r="M60" s="8"/>
      <c r="N60" s="8">
        <f>1730*20.77</f>
        <v>35932.1</v>
      </c>
      <c r="O60" s="24">
        <f t="shared" si="0"/>
        <v>3441.625</v>
      </c>
      <c r="P60" s="32">
        <f t="shared" si="11"/>
        <v>89372.055</v>
      </c>
      <c r="Q60" s="32"/>
      <c r="R60" s="34">
        <f t="shared" si="1"/>
        <v>46180.35</v>
      </c>
      <c r="S60" s="19">
        <f>635.2*80</f>
        <v>50816</v>
      </c>
      <c r="T60" s="19"/>
      <c r="U60" s="19">
        <v>58100</v>
      </c>
      <c r="V60" s="19">
        <f>306*150</f>
        <v>45900</v>
      </c>
      <c r="W60" s="19">
        <f>3*220</f>
        <v>660</v>
      </c>
      <c r="X60" s="19"/>
      <c r="Y60" s="32">
        <f t="shared" si="12"/>
        <v>155476</v>
      </c>
      <c r="Z60" s="32">
        <f t="shared" si="2"/>
        <v>19373.22</v>
      </c>
      <c r="AA60" s="32"/>
      <c r="AB60" s="32">
        <f t="shared" si="16"/>
        <v>7358.82</v>
      </c>
      <c r="AC60" s="34">
        <f t="shared" si="3"/>
        <v>3506.6000000000004</v>
      </c>
      <c r="AD60" s="8"/>
      <c r="AE60" s="8"/>
      <c r="AF60" s="34"/>
      <c r="AG60" s="32">
        <f t="shared" si="4"/>
        <v>17721.239999999998</v>
      </c>
      <c r="AH60" s="32">
        <v>57500</v>
      </c>
      <c r="AI60" s="32">
        <f t="shared" si="13"/>
        <v>396488.285</v>
      </c>
    </row>
    <row r="61" spans="1:35" ht="15">
      <c r="A61" s="3" t="s">
        <v>45</v>
      </c>
      <c r="B61" s="4" t="s">
        <v>54</v>
      </c>
      <c r="C61" s="3" t="s">
        <v>2</v>
      </c>
      <c r="D61" s="28">
        <v>1770.8</v>
      </c>
      <c r="E61" s="19">
        <f t="shared" si="5"/>
        <v>7649.856</v>
      </c>
      <c r="F61" s="19">
        <f t="shared" si="6"/>
        <v>25287.023999999998</v>
      </c>
      <c r="G61" s="19">
        <f t="shared" si="7"/>
        <v>25074.528</v>
      </c>
      <c r="H61" s="19">
        <f t="shared" si="8"/>
        <v>5524.896000000001</v>
      </c>
      <c r="I61" s="19">
        <f t="shared" si="9"/>
        <v>1274.9759999999999</v>
      </c>
      <c r="J61" s="19">
        <f t="shared" si="10"/>
        <v>3824.928</v>
      </c>
      <c r="K61" s="19">
        <f>32*8*4+32*6*2</f>
        <v>1408</v>
      </c>
      <c r="L61" s="8">
        <f>144.73*3</f>
        <v>434.18999999999994</v>
      </c>
      <c r="M61" s="8"/>
      <c r="N61" s="8"/>
      <c r="O61" s="24">
        <f t="shared" si="0"/>
        <v>4869.700000000001</v>
      </c>
      <c r="P61" s="32">
        <f t="shared" si="11"/>
        <v>75348.098</v>
      </c>
      <c r="Q61" s="32">
        <f>D61*1.27*5+D61*1.34*7</f>
        <v>27854.684000000005</v>
      </c>
      <c r="R61" s="34">
        <f t="shared" si="1"/>
        <v>65342.52</v>
      </c>
      <c r="S61" s="19"/>
      <c r="T61" s="19"/>
      <c r="U61" s="19"/>
      <c r="V61" s="19">
        <f>234*150</f>
        <v>35100</v>
      </c>
      <c r="W61" s="19">
        <f>11*220</f>
        <v>2420</v>
      </c>
      <c r="X61" s="19"/>
      <c r="Y61" s="32">
        <f t="shared" si="12"/>
        <v>37520</v>
      </c>
      <c r="Z61" s="32">
        <f t="shared" si="2"/>
        <v>27411.983999999997</v>
      </c>
      <c r="AA61" s="32"/>
      <c r="AB61" s="32">
        <f t="shared" si="16"/>
        <v>10412.304</v>
      </c>
      <c r="AC61" s="34">
        <f t="shared" si="3"/>
        <v>4960.64</v>
      </c>
      <c r="AD61" s="8"/>
      <c r="AE61" s="8"/>
      <c r="AF61" s="34"/>
      <c r="AG61" s="32">
        <f t="shared" si="4"/>
        <v>25074.528</v>
      </c>
      <c r="AH61" s="32"/>
      <c r="AI61" s="32">
        <f t="shared" si="13"/>
        <v>273924.75800000003</v>
      </c>
    </row>
    <row r="62" spans="1:35" ht="15.75">
      <c r="A62" s="5" t="s">
        <v>55</v>
      </c>
      <c r="B62" s="5" t="s">
        <v>56</v>
      </c>
      <c r="C62" s="6" t="s">
        <v>2</v>
      </c>
      <c r="D62" s="29">
        <v>393.3</v>
      </c>
      <c r="E62" s="19">
        <f t="shared" si="5"/>
        <v>1699.056</v>
      </c>
      <c r="F62" s="19">
        <f t="shared" si="6"/>
        <v>5616.324</v>
      </c>
      <c r="G62" s="19">
        <f t="shared" si="7"/>
        <v>5569.128</v>
      </c>
      <c r="H62" s="19">
        <f t="shared" si="8"/>
        <v>1227.096</v>
      </c>
      <c r="I62" s="19">
        <f t="shared" si="9"/>
        <v>283.176</v>
      </c>
      <c r="J62" s="19">
        <f t="shared" si="10"/>
        <v>849.528</v>
      </c>
      <c r="K62" s="19">
        <f>8*6*2</f>
        <v>96</v>
      </c>
      <c r="L62" s="8"/>
      <c r="M62" s="8"/>
      <c r="N62" s="8"/>
      <c r="O62" s="24">
        <f t="shared" si="0"/>
        <v>1081.575</v>
      </c>
      <c r="P62" s="32">
        <f t="shared" si="11"/>
        <v>16421.882999999998</v>
      </c>
      <c r="Q62" s="32"/>
      <c r="R62" s="34">
        <f t="shared" si="1"/>
        <v>14512.770000000002</v>
      </c>
      <c r="S62" s="19"/>
      <c r="T62" s="19"/>
      <c r="U62" s="19"/>
      <c r="V62" s="19"/>
      <c r="W62" s="19"/>
      <c r="X62" s="19"/>
      <c r="Y62" s="32">
        <f t="shared" si="12"/>
        <v>0</v>
      </c>
      <c r="Z62" s="32">
        <f t="shared" si="2"/>
        <v>6088.284000000001</v>
      </c>
      <c r="AA62" s="32"/>
      <c r="AB62" s="32">
        <f t="shared" si="16"/>
        <v>2312.6040000000003</v>
      </c>
      <c r="AC62" s="34">
        <f t="shared" si="3"/>
        <v>1103.6400000000003</v>
      </c>
      <c r="AD62" s="8"/>
      <c r="AE62" s="8"/>
      <c r="AF62" s="34"/>
      <c r="AG62" s="32">
        <f t="shared" si="4"/>
        <v>5569.128</v>
      </c>
      <c r="AH62" s="32"/>
      <c r="AI62" s="32">
        <f t="shared" si="13"/>
        <v>46008.308999999994</v>
      </c>
    </row>
    <row r="63" spans="1:35" ht="15.75">
      <c r="A63" s="3" t="s">
        <v>55</v>
      </c>
      <c r="B63" s="4" t="s">
        <v>12</v>
      </c>
      <c r="C63" s="3" t="s">
        <v>2</v>
      </c>
      <c r="D63" s="26">
        <v>290.2</v>
      </c>
      <c r="E63" s="19">
        <f t="shared" si="5"/>
        <v>1253.664</v>
      </c>
      <c r="F63" s="19">
        <f t="shared" si="6"/>
        <v>4144.056</v>
      </c>
      <c r="G63" s="19">
        <f t="shared" si="7"/>
        <v>4109.232</v>
      </c>
      <c r="H63" s="19">
        <f t="shared" si="8"/>
        <v>905.424</v>
      </c>
      <c r="I63" s="19">
        <f t="shared" si="9"/>
        <v>208.944</v>
      </c>
      <c r="J63" s="19">
        <f t="shared" si="10"/>
        <v>626.832</v>
      </c>
      <c r="K63" s="19">
        <f>8*6*2</f>
        <v>96</v>
      </c>
      <c r="L63" s="8">
        <f>144.73*13</f>
        <v>1881.4899999999998</v>
      </c>
      <c r="M63" s="8"/>
      <c r="N63" s="8">
        <f>719*20.77</f>
        <v>14933.63</v>
      </c>
      <c r="O63" s="24">
        <f t="shared" si="0"/>
        <v>798.0500000000001</v>
      </c>
      <c r="P63" s="32">
        <f t="shared" si="11"/>
        <v>28957.321999999996</v>
      </c>
      <c r="Q63" s="32"/>
      <c r="R63" s="34">
        <f t="shared" si="1"/>
        <v>10708.38</v>
      </c>
      <c r="S63" s="19">
        <f>225.9*80+41*700</f>
        <v>46772</v>
      </c>
      <c r="T63" s="19"/>
      <c r="U63" s="19"/>
      <c r="V63" s="19"/>
      <c r="W63" s="19"/>
      <c r="X63" s="19">
        <v>47600</v>
      </c>
      <c r="Y63" s="32">
        <f t="shared" si="12"/>
        <v>94372</v>
      </c>
      <c r="Z63" s="32">
        <f t="shared" si="2"/>
        <v>4492.296</v>
      </c>
      <c r="AA63" s="32"/>
      <c r="AB63" s="32">
        <f t="shared" si="16"/>
        <v>1706.3759999999997</v>
      </c>
      <c r="AC63" s="34">
        <f t="shared" si="3"/>
        <v>814.9599999999999</v>
      </c>
      <c r="AD63" s="8"/>
      <c r="AE63" s="8"/>
      <c r="AF63" s="34"/>
      <c r="AG63" s="32">
        <f t="shared" si="4"/>
        <v>4109.232</v>
      </c>
      <c r="AH63" s="32"/>
      <c r="AI63" s="32">
        <f t="shared" si="13"/>
        <v>145160.56599999996</v>
      </c>
    </row>
    <row r="64" spans="1:35" ht="15.75">
      <c r="A64" s="3" t="s">
        <v>55</v>
      </c>
      <c r="B64" s="4" t="s">
        <v>13</v>
      </c>
      <c r="C64" s="3" t="s">
        <v>2</v>
      </c>
      <c r="D64" s="26">
        <v>295.9</v>
      </c>
      <c r="E64" s="19">
        <f t="shared" si="5"/>
        <v>1278.2879999999998</v>
      </c>
      <c r="F64" s="19">
        <f t="shared" si="6"/>
        <v>4225.451999999999</v>
      </c>
      <c r="G64" s="19">
        <f t="shared" si="7"/>
        <v>4189.9439999999995</v>
      </c>
      <c r="H64" s="19">
        <f t="shared" si="8"/>
        <v>923.208</v>
      </c>
      <c r="I64" s="19">
        <f t="shared" si="9"/>
        <v>213.04799999999997</v>
      </c>
      <c r="J64" s="19">
        <f t="shared" si="10"/>
        <v>639.1439999999999</v>
      </c>
      <c r="K64" s="19">
        <f>8*6*2</f>
        <v>96</v>
      </c>
      <c r="L64" s="8">
        <f>144.73*13</f>
        <v>1881.4899999999998</v>
      </c>
      <c r="M64" s="8"/>
      <c r="N64" s="8">
        <f>276*20.77</f>
        <v>5732.5199999999995</v>
      </c>
      <c r="O64" s="24">
        <f t="shared" si="0"/>
        <v>813.725</v>
      </c>
      <c r="P64" s="32">
        <f t="shared" si="11"/>
        <v>19992.818999999996</v>
      </c>
      <c r="Q64" s="32"/>
      <c r="R64" s="34">
        <f t="shared" si="1"/>
        <v>10918.71</v>
      </c>
      <c r="S64" s="19">
        <f>220.8*80+64*700</f>
        <v>62464</v>
      </c>
      <c r="T64" s="19"/>
      <c r="U64" s="19"/>
      <c r="V64" s="19"/>
      <c r="W64" s="19"/>
      <c r="X64" s="19">
        <v>59000</v>
      </c>
      <c r="Y64" s="32">
        <f t="shared" si="12"/>
        <v>121464</v>
      </c>
      <c r="Z64" s="32">
        <f t="shared" si="2"/>
        <v>4580.531999999999</v>
      </c>
      <c r="AA64" s="32"/>
      <c r="AB64" s="32">
        <f t="shared" si="16"/>
        <v>1739.8919999999998</v>
      </c>
      <c r="AC64" s="34">
        <f t="shared" si="3"/>
        <v>830.92</v>
      </c>
      <c r="AD64" s="8"/>
      <c r="AE64" s="8"/>
      <c r="AF64" s="34"/>
      <c r="AG64" s="32">
        <f t="shared" si="4"/>
        <v>4189.9439999999995</v>
      </c>
      <c r="AH64" s="32"/>
      <c r="AI64" s="32">
        <f t="shared" si="13"/>
        <v>163716.81699999998</v>
      </c>
    </row>
    <row r="65" spans="1:35" ht="15.75">
      <c r="A65" s="3" t="s">
        <v>58</v>
      </c>
      <c r="B65" s="4" t="s">
        <v>39</v>
      </c>
      <c r="C65" s="3" t="s">
        <v>2</v>
      </c>
      <c r="D65" s="26">
        <v>1286.3</v>
      </c>
      <c r="E65" s="19">
        <f t="shared" si="5"/>
        <v>5556.816</v>
      </c>
      <c r="F65" s="19">
        <f t="shared" si="6"/>
        <v>18368.363999999998</v>
      </c>
      <c r="G65" s="19">
        <f t="shared" si="7"/>
        <v>18214.007999999998</v>
      </c>
      <c r="H65" s="19">
        <f t="shared" si="8"/>
        <v>4013.256</v>
      </c>
      <c r="I65" s="19">
        <f t="shared" si="9"/>
        <v>926.136</v>
      </c>
      <c r="J65" s="19">
        <f t="shared" si="10"/>
        <v>2778.408</v>
      </c>
      <c r="K65" s="19">
        <f>32*8*4+32*6*2</f>
        <v>1408</v>
      </c>
      <c r="L65" s="8">
        <f>144.73*3</f>
        <v>434.18999999999994</v>
      </c>
      <c r="M65" s="8"/>
      <c r="N65" s="8"/>
      <c r="O65" s="24">
        <f t="shared" si="0"/>
        <v>3537.3250000000003</v>
      </c>
      <c r="P65" s="32">
        <f t="shared" si="11"/>
        <v>55236.503</v>
      </c>
      <c r="Q65" s="32">
        <f>D65*1.27*5+D65*1.34*7</f>
        <v>20233.499</v>
      </c>
      <c r="R65" s="34">
        <f t="shared" si="1"/>
        <v>47464.47</v>
      </c>
      <c r="S65" s="19"/>
      <c r="T65" s="19"/>
      <c r="U65" s="19"/>
      <c r="V65" s="19">
        <f>128*150</f>
        <v>19200</v>
      </c>
      <c r="W65" s="19"/>
      <c r="X65" s="19"/>
      <c r="Y65" s="32">
        <f t="shared" si="12"/>
        <v>19200</v>
      </c>
      <c r="Z65" s="32">
        <f t="shared" si="2"/>
        <v>19911.924</v>
      </c>
      <c r="AA65" s="32"/>
      <c r="AB65" s="32">
        <f t="shared" si="16"/>
        <v>7563.4439999999995</v>
      </c>
      <c r="AC65" s="34">
        <f t="shared" si="3"/>
        <v>3604.04</v>
      </c>
      <c r="AD65" s="8"/>
      <c r="AE65" s="8"/>
      <c r="AF65" s="34"/>
      <c r="AG65" s="32">
        <f t="shared" si="4"/>
        <v>18214.007999999998</v>
      </c>
      <c r="AH65" s="32">
        <v>57500</v>
      </c>
      <c r="AI65" s="32">
        <f t="shared" si="13"/>
        <v>248927.888</v>
      </c>
    </row>
    <row r="66" spans="1:35" ht="15.75">
      <c r="A66" s="3" t="s">
        <v>58</v>
      </c>
      <c r="B66" s="4" t="s">
        <v>59</v>
      </c>
      <c r="C66" s="3" t="s">
        <v>2</v>
      </c>
      <c r="D66" s="26">
        <v>583.1</v>
      </c>
      <c r="E66" s="19">
        <f t="shared" si="5"/>
        <v>2518.992</v>
      </c>
      <c r="F66" s="19">
        <f t="shared" si="6"/>
        <v>8326.668</v>
      </c>
      <c r="G66" s="19">
        <f t="shared" si="7"/>
        <v>8256.696</v>
      </c>
      <c r="H66" s="19">
        <f t="shared" si="8"/>
        <v>1819.2720000000004</v>
      </c>
      <c r="I66" s="19">
        <f t="shared" si="9"/>
        <v>419.832</v>
      </c>
      <c r="J66" s="19">
        <f t="shared" si="10"/>
        <v>1259.496</v>
      </c>
      <c r="K66" s="19">
        <f>6*6*2</f>
        <v>72</v>
      </c>
      <c r="L66" s="8">
        <f>144.73*20</f>
        <v>2894.6</v>
      </c>
      <c r="M66" s="8"/>
      <c r="N66" s="8"/>
      <c r="O66" s="24">
        <f t="shared" si="0"/>
        <v>1603.525</v>
      </c>
      <c r="P66" s="32">
        <f t="shared" si="11"/>
        <v>27171.081</v>
      </c>
      <c r="Q66" s="32"/>
      <c r="R66" s="34">
        <f t="shared" si="1"/>
        <v>21516.390000000003</v>
      </c>
      <c r="S66" s="19"/>
      <c r="T66" s="19"/>
      <c r="U66" s="19"/>
      <c r="V66" s="19">
        <f>125*150</f>
        <v>18750</v>
      </c>
      <c r="W66" s="19"/>
      <c r="X66" s="19"/>
      <c r="Y66" s="32">
        <f t="shared" si="12"/>
        <v>18750</v>
      </c>
      <c r="Z66" s="32">
        <f t="shared" si="2"/>
        <v>9026.388</v>
      </c>
      <c r="AA66" s="32"/>
      <c r="AB66" s="32">
        <f t="shared" si="16"/>
        <v>3428.6279999999997</v>
      </c>
      <c r="AC66" s="34">
        <f t="shared" si="3"/>
        <v>1635.0800000000002</v>
      </c>
      <c r="AD66" s="8"/>
      <c r="AE66" s="8"/>
      <c r="AF66" s="34"/>
      <c r="AG66" s="32">
        <f t="shared" si="4"/>
        <v>8256.696</v>
      </c>
      <c r="AH66" s="32">
        <v>57500</v>
      </c>
      <c r="AI66" s="32">
        <f t="shared" si="13"/>
        <v>147284.263</v>
      </c>
    </row>
    <row r="67" spans="1:35" ht="15.75">
      <c r="A67" s="3" t="s">
        <v>58</v>
      </c>
      <c r="B67" s="4" t="s">
        <v>60</v>
      </c>
      <c r="C67" s="3" t="s">
        <v>2</v>
      </c>
      <c r="D67" s="26">
        <v>1346.8</v>
      </c>
      <c r="E67" s="19">
        <f t="shared" si="5"/>
        <v>5818.1759999999995</v>
      </c>
      <c r="F67" s="19">
        <f t="shared" si="6"/>
        <v>19232.303999999996</v>
      </c>
      <c r="G67" s="19">
        <f t="shared" si="7"/>
        <v>19070.688</v>
      </c>
      <c r="H67" s="19">
        <f t="shared" si="8"/>
        <v>4202.016</v>
      </c>
      <c r="I67" s="19">
        <f t="shared" si="9"/>
        <v>969.6959999999999</v>
      </c>
      <c r="J67" s="19">
        <f t="shared" si="10"/>
        <v>2909.0879999999997</v>
      </c>
      <c r="K67" s="19">
        <f>17*8*4+17*6*2</f>
        <v>748</v>
      </c>
      <c r="L67" s="8">
        <f>144.73*23</f>
        <v>3328.79</v>
      </c>
      <c r="M67" s="8"/>
      <c r="N67" s="8"/>
      <c r="O67" s="24">
        <f aca="true" t="shared" si="17" ref="O67:O130">D67*0.55*5</f>
        <v>3703.7</v>
      </c>
      <c r="P67" s="32">
        <f t="shared" si="11"/>
        <v>59982.45799999999</v>
      </c>
      <c r="Q67" s="32"/>
      <c r="R67" s="34">
        <f aca="true" t="shared" si="18" ref="R67:R130">D67*3.18*5+D67*3*7</f>
        <v>49696.92</v>
      </c>
      <c r="S67" s="19"/>
      <c r="T67" s="19"/>
      <c r="U67" s="19">
        <v>29050</v>
      </c>
      <c r="V67" s="19">
        <f>155*150</f>
        <v>23250</v>
      </c>
      <c r="W67" s="19"/>
      <c r="X67" s="19"/>
      <c r="Y67" s="32">
        <f t="shared" si="12"/>
        <v>52300</v>
      </c>
      <c r="Z67" s="32">
        <f aca="true" t="shared" si="19" ref="Z67:Z130">D67*1.29*12</f>
        <v>20848.464</v>
      </c>
      <c r="AA67" s="32"/>
      <c r="AB67" s="32">
        <f t="shared" si="16"/>
        <v>7919.184</v>
      </c>
      <c r="AC67" s="34">
        <f aca="true" t="shared" si="20" ref="AC67:AC130">D67*0.4*7+0.48*5</f>
        <v>3773.44</v>
      </c>
      <c r="AD67" s="8"/>
      <c r="AE67" s="8"/>
      <c r="AF67" s="34"/>
      <c r="AG67" s="32">
        <f aca="true" t="shared" si="21" ref="AG67:AG130">D67*1.18*12</f>
        <v>19070.688</v>
      </c>
      <c r="AH67" s="32">
        <v>57500</v>
      </c>
      <c r="AI67" s="32">
        <f t="shared" si="13"/>
        <v>271091.154</v>
      </c>
    </row>
    <row r="68" spans="1:35" ht="15.75">
      <c r="A68" s="3" t="s">
        <v>58</v>
      </c>
      <c r="B68" s="4" t="s">
        <v>15</v>
      </c>
      <c r="C68" s="3" t="s">
        <v>2</v>
      </c>
      <c r="D68" s="26">
        <v>2024.5</v>
      </c>
      <c r="E68" s="19">
        <f aca="true" t="shared" si="22" ref="E68:E131">D68*0.36*12</f>
        <v>8745.84</v>
      </c>
      <c r="F68" s="19">
        <f aca="true" t="shared" si="23" ref="F68:F131">D68*1.19*12</f>
        <v>28909.859999999997</v>
      </c>
      <c r="G68" s="19">
        <f aca="true" t="shared" si="24" ref="G68:G131">D68*1.18*12</f>
        <v>28666.92</v>
      </c>
      <c r="H68" s="19">
        <f aca="true" t="shared" si="25" ref="H68:H131">D68*0.26*12</f>
        <v>6316.4400000000005</v>
      </c>
      <c r="I68" s="19">
        <f aca="true" t="shared" si="26" ref="I68:I131">D68*0.06*12</f>
        <v>1457.6399999999999</v>
      </c>
      <c r="J68" s="19">
        <f aca="true" t="shared" si="27" ref="J68:J131">D68*0.18*12</f>
        <v>4372.92</v>
      </c>
      <c r="K68" s="19">
        <f>48*8+48*6*2</f>
        <v>960</v>
      </c>
      <c r="L68" s="8">
        <f>144.73*3</f>
        <v>434.18999999999994</v>
      </c>
      <c r="M68" s="8"/>
      <c r="N68" s="8"/>
      <c r="O68" s="24">
        <f t="shared" si="17"/>
        <v>5567.375000000001</v>
      </c>
      <c r="P68" s="32">
        <f aca="true" t="shared" si="28" ref="P68:P131">SUM(E68:O68)</f>
        <v>85431.185</v>
      </c>
      <c r="Q68" s="32">
        <f>D68*1.27*5+D68*1.34*7</f>
        <v>31845.385000000002</v>
      </c>
      <c r="R68" s="34">
        <f t="shared" si="18"/>
        <v>74704.05</v>
      </c>
      <c r="S68" s="19"/>
      <c r="T68" s="19"/>
      <c r="U68" s="19"/>
      <c r="V68" s="19"/>
      <c r="W68" s="19"/>
      <c r="X68" s="19"/>
      <c r="Y68" s="32">
        <f aca="true" t="shared" si="29" ref="Y68:Y131">SUM(S68:X68)</f>
        <v>0</v>
      </c>
      <c r="Z68" s="32">
        <f t="shared" si="19"/>
        <v>31339.260000000002</v>
      </c>
      <c r="AA68" s="32"/>
      <c r="AB68" s="32">
        <f t="shared" si="16"/>
        <v>11904.06</v>
      </c>
      <c r="AC68" s="34">
        <f t="shared" si="20"/>
        <v>5671</v>
      </c>
      <c r="AD68" s="8"/>
      <c r="AE68" s="8"/>
      <c r="AF68" s="34"/>
      <c r="AG68" s="32">
        <f t="shared" si="21"/>
        <v>28666.92</v>
      </c>
      <c r="AH68" s="32">
        <v>57500</v>
      </c>
      <c r="AI68" s="32">
        <f aca="true" t="shared" si="30" ref="AI68:AI131">P68+Q68+R68+Y68+Z68+AA68+AB68+AC68+AF68+AG68+AH68</f>
        <v>327061.86</v>
      </c>
    </row>
    <row r="69" spans="1:35" ht="15.75">
      <c r="A69" s="3" t="s">
        <v>58</v>
      </c>
      <c r="B69" s="4" t="s">
        <v>17</v>
      </c>
      <c r="C69" s="3" t="s">
        <v>2</v>
      </c>
      <c r="D69" s="26">
        <v>2353</v>
      </c>
      <c r="E69" s="19">
        <f t="shared" si="22"/>
        <v>10164.96</v>
      </c>
      <c r="F69" s="19">
        <f t="shared" si="23"/>
        <v>33600.84</v>
      </c>
      <c r="G69" s="19">
        <f t="shared" si="24"/>
        <v>33318.479999999996</v>
      </c>
      <c r="H69" s="19">
        <f t="shared" si="25"/>
        <v>7341.36</v>
      </c>
      <c r="I69" s="19">
        <f t="shared" si="26"/>
        <v>1694.16</v>
      </c>
      <c r="J69" s="19">
        <f t="shared" si="27"/>
        <v>5082.48</v>
      </c>
      <c r="K69" s="19">
        <f>56*8+56*6*2</f>
        <v>1120</v>
      </c>
      <c r="L69" s="8">
        <f>144.73*3</f>
        <v>434.18999999999994</v>
      </c>
      <c r="M69" s="8"/>
      <c r="N69" s="8">
        <f>884*20.77</f>
        <v>18360.68</v>
      </c>
      <c r="O69" s="24">
        <f t="shared" si="17"/>
        <v>6470.75</v>
      </c>
      <c r="P69" s="32">
        <f t="shared" si="28"/>
        <v>117587.9</v>
      </c>
      <c r="Q69" s="32">
        <f>D69*1.27*5+D69*1.34*7</f>
        <v>37012.69</v>
      </c>
      <c r="R69" s="34">
        <f t="shared" si="18"/>
        <v>86825.7</v>
      </c>
      <c r="S69" s="19"/>
      <c r="T69" s="19"/>
      <c r="U69" s="19"/>
      <c r="V69" s="19"/>
      <c r="W69" s="19"/>
      <c r="X69" s="19"/>
      <c r="Y69" s="32">
        <f t="shared" si="29"/>
        <v>0</v>
      </c>
      <c r="Z69" s="32">
        <f t="shared" si="19"/>
        <v>36424.44</v>
      </c>
      <c r="AA69" s="32"/>
      <c r="AB69" s="32">
        <f t="shared" si="16"/>
        <v>13835.64</v>
      </c>
      <c r="AC69" s="34">
        <f t="shared" si="20"/>
        <v>6590.8</v>
      </c>
      <c r="AD69" s="8"/>
      <c r="AE69" s="8"/>
      <c r="AF69" s="34"/>
      <c r="AG69" s="32">
        <f t="shared" si="21"/>
        <v>33318.479999999996</v>
      </c>
      <c r="AH69" s="32">
        <v>57500</v>
      </c>
      <c r="AI69" s="32">
        <f t="shared" si="30"/>
        <v>389095.64999999997</v>
      </c>
    </row>
    <row r="70" spans="1:35" ht="15.75">
      <c r="A70" s="3" t="s">
        <v>58</v>
      </c>
      <c r="B70" s="4" t="s">
        <v>61</v>
      </c>
      <c r="C70" s="3" t="s">
        <v>2</v>
      </c>
      <c r="D70" s="26">
        <v>504.1</v>
      </c>
      <c r="E70" s="19">
        <f t="shared" si="22"/>
        <v>2177.712</v>
      </c>
      <c r="F70" s="19">
        <f t="shared" si="23"/>
        <v>7198.548000000001</v>
      </c>
      <c r="G70" s="19">
        <f t="shared" si="24"/>
        <v>7138.056</v>
      </c>
      <c r="H70" s="19">
        <f t="shared" si="25"/>
        <v>1572.792</v>
      </c>
      <c r="I70" s="19">
        <f t="shared" si="26"/>
        <v>362.952</v>
      </c>
      <c r="J70" s="19">
        <f t="shared" si="27"/>
        <v>1088.856</v>
      </c>
      <c r="K70" s="19">
        <f>8*8*4+8*6*2</f>
        <v>352</v>
      </c>
      <c r="L70" s="8">
        <f>144.73*12</f>
        <v>1736.7599999999998</v>
      </c>
      <c r="M70" s="8"/>
      <c r="N70" s="8">
        <f>415*20.77</f>
        <v>8619.55</v>
      </c>
      <c r="O70" s="24">
        <f t="shared" si="17"/>
        <v>1386.2750000000003</v>
      </c>
      <c r="P70" s="32">
        <f t="shared" si="28"/>
        <v>31633.501</v>
      </c>
      <c r="Q70" s="32"/>
      <c r="R70" s="34">
        <f t="shared" si="18"/>
        <v>18601.290000000005</v>
      </c>
      <c r="S70" s="19"/>
      <c r="T70" s="19"/>
      <c r="U70" s="19"/>
      <c r="V70" s="19"/>
      <c r="W70" s="19"/>
      <c r="X70" s="19"/>
      <c r="Y70" s="32">
        <f t="shared" si="29"/>
        <v>0</v>
      </c>
      <c r="Z70" s="32">
        <f t="shared" si="19"/>
        <v>7803.468000000001</v>
      </c>
      <c r="AA70" s="32"/>
      <c r="AB70" s="32">
        <f t="shared" si="16"/>
        <v>2964.108</v>
      </c>
      <c r="AC70" s="34">
        <f t="shared" si="20"/>
        <v>1413.88</v>
      </c>
      <c r="AD70" s="8"/>
      <c r="AE70" s="8"/>
      <c r="AF70" s="34"/>
      <c r="AG70" s="32">
        <f t="shared" si="21"/>
        <v>7138.056</v>
      </c>
      <c r="AH70" s="32">
        <v>57500</v>
      </c>
      <c r="AI70" s="32">
        <f t="shared" si="30"/>
        <v>127054.303</v>
      </c>
    </row>
    <row r="71" spans="1:35" ht="15.75">
      <c r="A71" s="3" t="s">
        <v>62</v>
      </c>
      <c r="B71" s="4" t="s">
        <v>35</v>
      </c>
      <c r="C71" s="3" t="s">
        <v>2</v>
      </c>
      <c r="D71" s="29">
        <v>90</v>
      </c>
      <c r="E71" s="19">
        <f t="shared" si="22"/>
        <v>388.79999999999995</v>
      </c>
      <c r="F71" s="19">
        <f t="shared" si="23"/>
        <v>1285.1999999999998</v>
      </c>
      <c r="G71" s="19">
        <f t="shared" si="24"/>
        <v>1274.3999999999999</v>
      </c>
      <c r="H71" s="19">
        <f t="shared" si="25"/>
        <v>280.8</v>
      </c>
      <c r="I71" s="19">
        <f t="shared" si="26"/>
        <v>64.8</v>
      </c>
      <c r="J71" s="19">
        <f t="shared" si="27"/>
        <v>194.39999999999998</v>
      </c>
      <c r="K71" s="19">
        <v>1150</v>
      </c>
      <c r="L71" s="8"/>
      <c r="M71" s="8"/>
      <c r="N71" s="8"/>
      <c r="O71" s="24">
        <f t="shared" si="17"/>
        <v>247.50000000000003</v>
      </c>
      <c r="P71" s="32">
        <f t="shared" si="28"/>
        <v>4885.9</v>
      </c>
      <c r="Q71" s="32"/>
      <c r="R71" s="34">
        <f t="shared" si="18"/>
        <v>3321</v>
      </c>
      <c r="S71" s="19"/>
      <c r="T71" s="19"/>
      <c r="U71" s="19"/>
      <c r="V71" s="19"/>
      <c r="W71" s="19"/>
      <c r="X71" s="19"/>
      <c r="Y71" s="32">
        <f t="shared" si="29"/>
        <v>0</v>
      </c>
      <c r="Z71" s="32">
        <f t="shared" si="19"/>
        <v>1393.2</v>
      </c>
      <c r="AA71" s="32"/>
      <c r="AB71" s="32">
        <f t="shared" si="16"/>
        <v>529.2</v>
      </c>
      <c r="AC71" s="34">
        <f t="shared" si="20"/>
        <v>254.4</v>
      </c>
      <c r="AD71" s="8"/>
      <c r="AE71" s="8"/>
      <c r="AF71" s="34"/>
      <c r="AG71" s="32">
        <f t="shared" si="21"/>
        <v>1274.3999999999999</v>
      </c>
      <c r="AH71" s="32"/>
      <c r="AI71" s="32">
        <f t="shared" si="30"/>
        <v>11658.1</v>
      </c>
    </row>
    <row r="72" spans="1:35" ht="15.75">
      <c r="A72" s="3" t="s">
        <v>63</v>
      </c>
      <c r="B72" s="4" t="s">
        <v>34</v>
      </c>
      <c r="C72" s="3" t="s">
        <v>2</v>
      </c>
      <c r="D72" s="26">
        <v>2717.6</v>
      </c>
      <c r="E72" s="19">
        <f t="shared" si="22"/>
        <v>11740.032</v>
      </c>
      <c r="F72" s="19">
        <f t="shared" si="23"/>
        <v>38807.328</v>
      </c>
      <c r="G72" s="19">
        <f t="shared" si="24"/>
        <v>38481.21599999999</v>
      </c>
      <c r="H72" s="19">
        <f t="shared" si="25"/>
        <v>8478.912</v>
      </c>
      <c r="I72" s="19">
        <f t="shared" si="26"/>
        <v>1956.6719999999998</v>
      </c>
      <c r="J72" s="19">
        <f t="shared" si="27"/>
        <v>5870.016</v>
      </c>
      <c r="K72" s="19">
        <f>60*6*2</f>
        <v>720</v>
      </c>
      <c r="L72" s="8">
        <f>144.73*3</f>
        <v>434.18999999999994</v>
      </c>
      <c r="M72" s="8"/>
      <c r="N72" s="8"/>
      <c r="O72" s="24">
        <f t="shared" si="17"/>
        <v>7473.400000000001</v>
      </c>
      <c r="P72" s="32">
        <f t="shared" si="28"/>
        <v>113961.766</v>
      </c>
      <c r="Q72" s="32">
        <f>D72*1.27*5+D72*1.34*7</f>
        <v>42747.848</v>
      </c>
      <c r="R72" s="34">
        <f t="shared" si="18"/>
        <v>100279.44</v>
      </c>
      <c r="S72" s="19"/>
      <c r="T72" s="19">
        <v>121500.01</v>
      </c>
      <c r="U72" s="19"/>
      <c r="V72" s="19"/>
      <c r="W72" s="19"/>
      <c r="X72" s="19">
        <v>14650</v>
      </c>
      <c r="Y72" s="32">
        <f t="shared" si="29"/>
        <v>136150.01</v>
      </c>
      <c r="Z72" s="32">
        <f t="shared" si="19"/>
        <v>42068.448000000004</v>
      </c>
      <c r="AA72" s="32"/>
      <c r="AB72" s="32">
        <f t="shared" si="16"/>
        <v>15979.488000000001</v>
      </c>
      <c r="AC72" s="34">
        <f t="shared" si="20"/>
        <v>7611.679999999999</v>
      </c>
      <c r="AD72" s="8"/>
      <c r="AE72" s="8"/>
      <c r="AF72" s="34"/>
      <c r="AG72" s="32">
        <f t="shared" si="21"/>
        <v>38481.21599999999</v>
      </c>
      <c r="AH72" s="32">
        <v>57500</v>
      </c>
      <c r="AI72" s="32">
        <f t="shared" si="30"/>
        <v>554779.896</v>
      </c>
    </row>
    <row r="73" spans="1:35" ht="15.75">
      <c r="A73" s="3" t="s">
        <v>63</v>
      </c>
      <c r="B73" s="4" t="s">
        <v>64</v>
      </c>
      <c r="C73" s="3" t="s">
        <v>2</v>
      </c>
      <c r="D73" s="26">
        <v>2698.4</v>
      </c>
      <c r="E73" s="19">
        <f t="shared" si="22"/>
        <v>11657.088</v>
      </c>
      <c r="F73" s="19">
        <f t="shared" si="23"/>
        <v>38533.152</v>
      </c>
      <c r="G73" s="19">
        <f t="shared" si="24"/>
        <v>38209.344</v>
      </c>
      <c r="H73" s="19">
        <f t="shared" si="25"/>
        <v>8419.008000000002</v>
      </c>
      <c r="I73" s="19">
        <f t="shared" si="26"/>
        <v>1942.848</v>
      </c>
      <c r="J73" s="19">
        <f t="shared" si="27"/>
        <v>5828.544</v>
      </c>
      <c r="K73" s="19">
        <f>60*6*2</f>
        <v>720</v>
      </c>
      <c r="L73" s="8">
        <f>144.73*3</f>
        <v>434.18999999999994</v>
      </c>
      <c r="M73" s="8"/>
      <c r="N73" s="8"/>
      <c r="O73" s="24">
        <f t="shared" si="17"/>
        <v>7420.6</v>
      </c>
      <c r="P73" s="32">
        <f t="shared" si="28"/>
        <v>113164.774</v>
      </c>
      <c r="Q73" s="32">
        <f>D73*1.27*5+D73*1.34*7</f>
        <v>42445.832</v>
      </c>
      <c r="R73" s="34">
        <f t="shared" si="18"/>
        <v>99570.96</v>
      </c>
      <c r="S73" s="19"/>
      <c r="T73" s="19">
        <v>15900</v>
      </c>
      <c r="U73" s="19"/>
      <c r="V73" s="19"/>
      <c r="W73" s="19"/>
      <c r="X73" s="19">
        <v>108730</v>
      </c>
      <c r="Y73" s="32">
        <f t="shared" si="29"/>
        <v>124630</v>
      </c>
      <c r="Z73" s="32">
        <f t="shared" si="19"/>
        <v>41771.232</v>
      </c>
      <c r="AA73" s="32"/>
      <c r="AB73" s="32">
        <f t="shared" si="16"/>
        <v>15866.592</v>
      </c>
      <c r="AC73" s="34">
        <f t="shared" si="20"/>
        <v>7557.92</v>
      </c>
      <c r="AD73" s="8"/>
      <c r="AE73" s="8"/>
      <c r="AF73" s="34"/>
      <c r="AG73" s="32">
        <f t="shared" si="21"/>
        <v>38209.344</v>
      </c>
      <c r="AH73" s="32">
        <v>57500</v>
      </c>
      <c r="AI73" s="32">
        <f t="shared" si="30"/>
        <v>540716.654</v>
      </c>
    </row>
    <row r="74" spans="1:35" ht="15.75">
      <c r="A74" s="3" t="s">
        <v>63</v>
      </c>
      <c r="B74" s="4" t="s">
        <v>35</v>
      </c>
      <c r="C74" s="3" t="s">
        <v>2</v>
      </c>
      <c r="D74" s="26">
        <v>4512.9</v>
      </c>
      <c r="E74" s="19">
        <f t="shared" si="22"/>
        <v>19495.727999999996</v>
      </c>
      <c r="F74" s="19">
        <f t="shared" si="23"/>
        <v>64444.212</v>
      </c>
      <c r="G74" s="19">
        <f t="shared" si="24"/>
        <v>63902.66399999999</v>
      </c>
      <c r="H74" s="19">
        <f t="shared" si="25"/>
        <v>14080.248</v>
      </c>
      <c r="I74" s="19">
        <f t="shared" si="26"/>
        <v>3249.2879999999996</v>
      </c>
      <c r="J74" s="19">
        <f t="shared" si="27"/>
        <v>9747.863999999998</v>
      </c>
      <c r="K74" s="19">
        <f>90*6*2</f>
        <v>1080</v>
      </c>
      <c r="L74" s="8">
        <f>144.73*3</f>
        <v>434.18999999999994</v>
      </c>
      <c r="M74" s="8"/>
      <c r="N74" s="8"/>
      <c r="O74" s="24">
        <f t="shared" si="17"/>
        <v>12410.474999999999</v>
      </c>
      <c r="P74" s="32">
        <f t="shared" si="28"/>
        <v>188844.669</v>
      </c>
      <c r="Q74" s="32">
        <f>D74*1.27*5+D74*1.34*7</f>
        <v>70987.917</v>
      </c>
      <c r="R74" s="34">
        <f t="shared" si="18"/>
        <v>166526.01</v>
      </c>
      <c r="S74" s="19"/>
      <c r="T74" s="19">
        <v>112500</v>
      </c>
      <c r="U74" s="19"/>
      <c r="V74" s="19"/>
      <c r="W74" s="19"/>
      <c r="X74" s="19"/>
      <c r="Y74" s="32">
        <f t="shared" si="29"/>
        <v>112500</v>
      </c>
      <c r="Z74" s="32">
        <f t="shared" si="19"/>
        <v>69859.692</v>
      </c>
      <c r="AA74" s="32"/>
      <c r="AB74" s="32">
        <f t="shared" si="16"/>
        <v>26535.852</v>
      </c>
      <c r="AC74" s="34">
        <f t="shared" si="20"/>
        <v>12638.519999999999</v>
      </c>
      <c r="AD74" s="8"/>
      <c r="AE74" s="8"/>
      <c r="AF74" s="34"/>
      <c r="AG74" s="32">
        <f t="shared" si="21"/>
        <v>63902.66399999999</v>
      </c>
      <c r="AH74" s="32">
        <v>57500</v>
      </c>
      <c r="AI74" s="32">
        <f t="shared" si="30"/>
        <v>769295.324</v>
      </c>
    </row>
    <row r="75" spans="1:35" ht="15.75">
      <c r="A75" s="3" t="s">
        <v>63</v>
      </c>
      <c r="B75" s="4" t="s">
        <v>3</v>
      </c>
      <c r="C75" s="3" t="s">
        <v>2</v>
      </c>
      <c r="D75" s="26">
        <v>120.7</v>
      </c>
      <c r="E75" s="19">
        <f t="shared" si="22"/>
        <v>521.424</v>
      </c>
      <c r="F75" s="19">
        <f t="shared" si="23"/>
        <v>1723.596</v>
      </c>
      <c r="G75" s="19">
        <f t="shared" si="24"/>
        <v>1709.1119999999999</v>
      </c>
      <c r="H75" s="19">
        <f t="shared" si="25"/>
        <v>376.584</v>
      </c>
      <c r="I75" s="19">
        <f t="shared" si="26"/>
        <v>86.904</v>
      </c>
      <c r="J75" s="19">
        <f t="shared" si="27"/>
        <v>260.712</v>
      </c>
      <c r="K75" s="19">
        <f>2*230</f>
        <v>460</v>
      </c>
      <c r="L75" s="8"/>
      <c r="M75" s="8"/>
      <c r="N75" s="8"/>
      <c r="O75" s="24">
        <f t="shared" si="17"/>
        <v>331.925</v>
      </c>
      <c r="P75" s="32">
        <f t="shared" si="28"/>
        <v>5470.256999999999</v>
      </c>
      <c r="Q75" s="32"/>
      <c r="R75" s="34">
        <f t="shared" si="18"/>
        <v>4453.83</v>
      </c>
      <c r="S75" s="19"/>
      <c r="T75" s="19"/>
      <c r="U75" s="19"/>
      <c r="V75" s="19"/>
      <c r="W75" s="19"/>
      <c r="X75" s="19"/>
      <c r="Y75" s="32">
        <f t="shared" si="29"/>
        <v>0</v>
      </c>
      <c r="Z75" s="32">
        <f t="shared" si="19"/>
        <v>1868.4360000000001</v>
      </c>
      <c r="AA75" s="32"/>
      <c r="AB75" s="32">
        <f t="shared" si="16"/>
        <v>709.716</v>
      </c>
      <c r="AC75" s="34">
        <f t="shared" si="20"/>
        <v>340.36</v>
      </c>
      <c r="AD75" s="8"/>
      <c r="AE75" s="8"/>
      <c r="AF75" s="34"/>
      <c r="AG75" s="32">
        <f t="shared" si="21"/>
        <v>1709.1119999999999</v>
      </c>
      <c r="AH75" s="32"/>
      <c r="AI75" s="32">
        <f t="shared" si="30"/>
        <v>14551.711</v>
      </c>
    </row>
    <row r="76" spans="1:35" ht="15.75">
      <c r="A76" s="3" t="s">
        <v>63</v>
      </c>
      <c r="B76" s="4" t="s">
        <v>65</v>
      </c>
      <c r="C76" s="3" t="s">
        <v>2</v>
      </c>
      <c r="D76" s="26">
        <v>1535.3</v>
      </c>
      <c r="E76" s="19">
        <f t="shared" si="22"/>
        <v>6632.495999999999</v>
      </c>
      <c r="F76" s="19">
        <f t="shared" si="23"/>
        <v>21924.084</v>
      </c>
      <c r="G76" s="19">
        <f t="shared" si="24"/>
        <v>21739.847999999998</v>
      </c>
      <c r="H76" s="19">
        <f t="shared" si="25"/>
        <v>4790.136</v>
      </c>
      <c r="I76" s="19">
        <f t="shared" si="26"/>
        <v>1105.416</v>
      </c>
      <c r="J76" s="19">
        <f t="shared" si="27"/>
        <v>3316.2479999999996</v>
      </c>
      <c r="K76" s="19">
        <f>33*6*2</f>
        <v>396</v>
      </c>
      <c r="L76" s="8">
        <f>144.73*2</f>
        <v>289.46</v>
      </c>
      <c r="M76" s="8"/>
      <c r="N76" s="8"/>
      <c r="O76" s="24">
        <f t="shared" si="17"/>
        <v>4222.075000000001</v>
      </c>
      <c r="P76" s="32">
        <f t="shared" si="28"/>
        <v>64415.76299999999</v>
      </c>
      <c r="Q76" s="32">
        <f>D76*1.27*5+D76*1.34*7</f>
        <v>24150.269</v>
      </c>
      <c r="R76" s="34">
        <f t="shared" si="18"/>
        <v>56652.56999999999</v>
      </c>
      <c r="S76" s="19"/>
      <c r="T76" s="19"/>
      <c r="U76" s="19"/>
      <c r="V76" s="19"/>
      <c r="W76" s="19"/>
      <c r="X76" s="19"/>
      <c r="Y76" s="32">
        <f t="shared" si="29"/>
        <v>0</v>
      </c>
      <c r="Z76" s="32">
        <f t="shared" si="19"/>
        <v>23766.444</v>
      </c>
      <c r="AA76" s="32"/>
      <c r="AB76" s="32">
        <f t="shared" si="16"/>
        <v>9027.563999999998</v>
      </c>
      <c r="AC76" s="34">
        <f t="shared" si="20"/>
        <v>4301.24</v>
      </c>
      <c r="AD76" s="8">
        <v>59274.96</v>
      </c>
      <c r="AE76" s="8">
        <v>3475.88</v>
      </c>
      <c r="AF76" s="34">
        <f>SUM(AD76:AE76)</f>
        <v>62750.84</v>
      </c>
      <c r="AG76" s="32">
        <f t="shared" si="21"/>
        <v>21739.847999999998</v>
      </c>
      <c r="AH76" s="32"/>
      <c r="AI76" s="32">
        <f t="shared" si="30"/>
        <v>266804.53799999994</v>
      </c>
    </row>
    <row r="77" spans="1:35" ht="15.75">
      <c r="A77" s="3" t="s">
        <v>63</v>
      </c>
      <c r="B77" s="4" t="s">
        <v>65</v>
      </c>
      <c r="C77" s="3" t="s">
        <v>66</v>
      </c>
      <c r="D77" s="26">
        <v>1274</v>
      </c>
      <c r="E77" s="19">
        <f t="shared" si="22"/>
        <v>5503.68</v>
      </c>
      <c r="F77" s="19">
        <f t="shared" si="23"/>
        <v>18192.72</v>
      </c>
      <c r="G77" s="19">
        <f t="shared" si="24"/>
        <v>18039.84</v>
      </c>
      <c r="H77" s="19">
        <f t="shared" si="25"/>
        <v>3974.88</v>
      </c>
      <c r="I77" s="19">
        <f t="shared" si="26"/>
        <v>917.28</v>
      </c>
      <c r="J77" s="19">
        <f t="shared" si="27"/>
        <v>2751.84</v>
      </c>
      <c r="K77" s="19">
        <f>28*6*2</f>
        <v>336</v>
      </c>
      <c r="L77" s="8">
        <f>144.73*2</f>
        <v>289.46</v>
      </c>
      <c r="M77" s="8"/>
      <c r="N77" s="8"/>
      <c r="O77" s="24">
        <f t="shared" si="17"/>
        <v>3503.5</v>
      </c>
      <c r="P77" s="32">
        <f t="shared" si="28"/>
        <v>53509.200000000004</v>
      </c>
      <c r="Q77" s="32">
        <f>D77*1.27*5+D77*1.34*7</f>
        <v>20040.02</v>
      </c>
      <c r="R77" s="34">
        <f t="shared" si="18"/>
        <v>47010.600000000006</v>
      </c>
      <c r="S77" s="19"/>
      <c r="T77" s="19"/>
      <c r="U77" s="19"/>
      <c r="V77" s="19"/>
      <c r="W77" s="19"/>
      <c r="X77" s="19"/>
      <c r="Y77" s="32">
        <f t="shared" si="29"/>
        <v>0</v>
      </c>
      <c r="Z77" s="32">
        <f t="shared" si="19"/>
        <v>19721.52</v>
      </c>
      <c r="AA77" s="32"/>
      <c r="AB77" s="32">
        <f t="shared" si="16"/>
        <v>7491.12</v>
      </c>
      <c r="AC77" s="34">
        <f t="shared" si="20"/>
        <v>3569.6000000000004</v>
      </c>
      <c r="AD77" s="8"/>
      <c r="AE77" s="8"/>
      <c r="AF77" s="34"/>
      <c r="AG77" s="32">
        <f t="shared" si="21"/>
        <v>18039.84</v>
      </c>
      <c r="AH77" s="32"/>
      <c r="AI77" s="32">
        <f t="shared" si="30"/>
        <v>169381.9</v>
      </c>
    </row>
    <row r="78" spans="1:35" ht="15.75">
      <c r="A78" s="3" t="s">
        <v>63</v>
      </c>
      <c r="B78" s="4" t="s">
        <v>67</v>
      </c>
      <c r="C78" s="3" t="s">
        <v>2</v>
      </c>
      <c r="D78" s="26">
        <v>9523.6</v>
      </c>
      <c r="E78" s="19">
        <f t="shared" si="22"/>
        <v>41141.952000000005</v>
      </c>
      <c r="F78" s="19">
        <f t="shared" si="23"/>
        <v>135997.008</v>
      </c>
      <c r="G78" s="19">
        <f t="shared" si="24"/>
        <v>134854.176</v>
      </c>
      <c r="H78" s="19">
        <f t="shared" si="25"/>
        <v>29713.631999999998</v>
      </c>
      <c r="I78" s="19">
        <f t="shared" si="26"/>
        <v>6856.992</v>
      </c>
      <c r="J78" s="19">
        <f t="shared" si="27"/>
        <v>20570.976000000002</v>
      </c>
      <c r="K78" s="19">
        <f>180*6*2</f>
        <v>2160</v>
      </c>
      <c r="L78" s="8">
        <f>144.73*3</f>
        <v>434.18999999999994</v>
      </c>
      <c r="M78" s="8"/>
      <c r="N78" s="8"/>
      <c r="O78" s="24">
        <f t="shared" si="17"/>
        <v>26189.9</v>
      </c>
      <c r="P78" s="32">
        <f t="shared" si="28"/>
        <v>397918.8260000001</v>
      </c>
      <c r="Q78" s="32">
        <f>D78*1.27*5+D78*1.34*7</f>
        <v>149806.228</v>
      </c>
      <c r="R78" s="34">
        <f t="shared" si="18"/>
        <v>351420.8400000001</v>
      </c>
      <c r="S78" s="19">
        <f>271*120</f>
        <v>32520</v>
      </c>
      <c r="T78" s="19"/>
      <c r="U78" s="19"/>
      <c r="V78" s="19"/>
      <c r="W78" s="19">
        <f>4.6*220</f>
        <v>1011.9999999999999</v>
      </c>
      <c r="X78" s="19"/>
      <c r="Y78" s="32">
        <f t="shared" si="29"/>
        <v>33532</v>
      </c>
      <c r="Z78" s="32">
        <f t="shared" si="19"/>
        <v>147425.328</v>
      </c>
      <c r="AA78" s="32"/>
      <c r="AB78" s="32">
        <f t="shared" si="16"/>
        <v>55998.768000000004</v>
      </c>
      <c r="AC78" s="34">
        <f t="shared" si="20"/>
        <v>26668.480000000003</v>
      </c>
      <c r="AD78" s="8"/>
      <c r="AE78" s="8"/>
      <c r="AF78" s="34"/>
      <c r="AG78" s="32">
        <f t="shared" si="21"/>
        <v>134854.176</v>
      </c>
      <c r="AH78" s="32"/>
      <c r="AI78" s="32">
        <f t="shared" si="30"/>
        <v>1297624.6460000002</v>
      </c>
    </row>
    <row r="79" spans="1:35" ht="15.75">
      <c r="A79" s="5" t="s">
        <v>68</v>
      </c>
      <c r="B79" s="5" t="s">
        <v>1</v>
      </c>
      <c r="C79" s="6"/>
      <c r="D79" s="29">
        <v>66.6</v>
      </c>
      <c r="E79" s="19">
        <f t="shared" si="22"/>
        <v>287.71199999999993</v>
      </c>
      <c r="F79" s="19">
        <f t="shared" si="23"/>
        <v>951.0479999999999</v>
      </c>
      <c r="G79" s="19">
        <f t="shared" si="24"/>
        <v>943.0559999999999</v>
      </c>
      <c r="H79" s="19">
        <f t="shared" si="25"/>
        <v>207.79199999999997</v>
      </c>
      <c r="I79" s="19">
        <f t="shared" si="26"/>
        <v>47.952</v>
      </c>
      <c r="J79" s="19">
        <f t="shared" si="27"/>
        <v>143.85599999999997</v>
      </c>
      <c r="K79" s="19">
        <f>2*230</f>
        <v>460</v>
      </c>
      <c r="L79" s="8">
        <f>144.73*6</f>
        <v>868.3799999999999</v>
      </c>
      <c r="M79" s="8"/>
      <c r="N79" s="8"/>
      <c r="O79" s="24">
        <f t="shared" si="17"/>
        <v>183.15</v>
      </c>
      <c r="P79" s="32">
        <f t="shared" si="28"/>
        <v>4092.9459999999995</v>
      </c>
      <c r="Q79" s="32"/>
      <c r="R79" s="34">
        <f t="shared" si="18"/>
        <v>2457.54</v>
      </c>
      <c r="S79" s="19"/>
      <c r="T79" s="19"/>
      <c r="U79" s="19"/>
      <c r="V79" s="19"/>
      <c r="W79" s="19"/>
      <c r="X79" s="19"/>
      <c r="Y79" s="32">
        <f t="shared" si="29"/>
        <v>0</v>
      </c>
      <c r="Z79" s="32">
        <f t="shared" si="19"/>
        <v>1030.968</v>
      </c>
      <c r="AA79" s="32"/>
      <c r="AB79" s="32">
        <f t="shared" si="16"/>
        <v>391.60799999999995</v>
      </c>
      <c r="AC79" s="34">
        <f t="shared" si="20"/>
        <v>188.88000000000002</v>
      </c>
      <c r="AD79" s="8"/>
      <c r="AE79" s="8"/>
      <c r="AF79" s="34"/>
      <c r="AG79" s="32">
        <f t="shared" si="21"/>
        <v>943.0559999999999</v>
      </c>
      <c r="AH79" s="32"/>
      <c r="AI79" s="32">
        <f t="shared" si="30"/>
        <v>9104.998</v>
      </c>
    </row>
    <row r="80" spans="1:35" ht="15.75">
      <c r="A80" s="5" t="s">
        <v>68</v>
      </c>
      <c r="B80" s="5" t="s">
        <v>69</v>
      </c>
      <c r="C80" s="6"/>
      <c r="D80" s="26">
        <v>69.2</v>
      </c>
      <c r="E80" s="19">
        <f t="shared" si="22"/>
        <v>298.94399999999996</v>
      </c>
      <c r="F80" s="19">
        <f t="shared" si="23"/>
        <v>988.1759999999999</v>
      </c>
      <c r="G80" s="19">
        <f t="shared" si="24"/>
        <v>979.8720000000001</v>
      </c>
      <c r="H80" s="19">
        <f t="shared" si="25"/>
        <v>215.904</v>
      </c>
      <c r="I80" s="19">
        <f t="shared" si="26"/>
        <v>49.824</v>
      </c>
      <c r="J80" s="19">
        <f t="shared" si="27"/>
        <v>149.47199999999998</v>
      </c>
      <c r="K80" s="19">
        <f>2*230</f>
        <v>460</v>
      </c>
      <c r="L80" s="8">
        <f>144.73*6</f>
        <v>868.3799999999999</v>
      </c>
      <c r="M80" s="8"/>
      <c r="N80" s="8"/>
      <c r="O80" s="24">
        <f t="shared" si="17"/>
        <v>190.3</v>
      </c>
      <c r="P80" s="32">
        <f t="shared" si="28"/>
        <v>4200.872</v>
      </c>
      <c r="Q80" s="32"/>
      <c r="R80" s="34">
        <f t="shared" si="18"/>
        <v>2553.4800000000005</v>
      </c>
      <c r="S80" s="19"/>
      <c r="T80" s="19"/>
      <c r="U80" s="19"/>
      <c r="V80" s="19"/>
      <c r="W80" s="19"/>
      <c r="X80" s="19"/>
      <c r="Y80" s="32">
        <f t="shared" si="29"/>
        <v>0</v>
      </c>
      <c r="Z80" s="32">
        <f t="shared" si="19"/>
        <v>1071.216</v>
      </c>
      <c r="AA80" s="32"/>
      <c r="AB80" s="32">
        <f t="shared" si="16"/>
        <v>406.896</v>
      </c>
      <c r="AC80" s="34">
        <f t="shared" si="20"/>
        <v>196.16000000000003</v>
      </c>
      <c r="AD80" s="8"/>
      <c r="AE80" s="8"/>
      <c r="AF80" s="34"/>
      <c r="AG80" s="32">
        <f t="shared" si="21"/>
        <v>979.8720000000001</v>
      </c>
      <c r="AH80" s="32"/>
      <c r="AI80" s="32">
        <f t="shared" si="30"/>
        <v>9408.496000000001</v>
      </c>
    </row>
    <row r="81" spans="1:35" ht="15.75">
      <c r="A81" s="5" t="s">
        <v>68</v>
      </c>
      <c r="B81" s="5" t="s">
        <v>70</v>
      </c>
      <c r="C81" s="6"/>
      <c r="D81" s="29">
        <v>155.7</v>
      </c>
      <c r="E81" s="19">
        <f t="shared" si="22"/>
        <v>672.6239999999999</v>
      </c>
      <c r="F81" s="19">
        <f t="shared" si="23"/>
        <v>2223.3959999999997</v>
      </c>
      <c r="G81" s="19">
        <f t="shared" si="24"/>
        <v>2204.7119999999995</v>
      </c>
      <c r="H81" s="19">
        <f t="shared" si="25"/>
        <v>485.784</v>
      </c>
      <c r="I81" s="19">
        <f t="shared" si="26"/>
        <v>112.10399999999998</v>
      </c>
      <c r="J81" s="19">
        <f t="shared" si="27"/>
        <v>336.31199999999995</v>
      </c>
      <c r="K81" s="19">
        <f>2*230</f>
        <v>460</v>
      </c>
      <c r="L81" s="8">
        <f>144.73*6</f>
        <v>868.3799999999999</v>
      </c>
      <c r="M81" s="8"/>
      <c r="N81" s="8"/>
      <c r="O81" s="24">
        <f t="shared" si="17"/>
        <v>428.175</v>
      </c>
      <c r="P81" s="32">
        <f t="shared" si="28"/>
        <v>7791.486999999999</v>
      </c>
      <c r="Q81" s="32"/>
      <c r="R81" s="34">
        <f t="shared" si="18"/>
        <v>5745.33</v>
      </c>
      <c r="S81" s="19"/>
      <c r="T81" s="19"/>
      <c r="U81" s="19"/>
      <c r="V81" s="19"/>
      <c r="W81" s="19"/>
      <c r="X81" s="19"/>
      <c r="Y81" s="32">
        <f t="shared" si="29"/>
        <v>0</v>
      </c>
      <c r="Z81" s="32">
        <f t="shared" si="19"/>
        <v>2410.236</v>
      </c>
      <c r="AA81" s="32"/>
      <c r="AB81" s="32">
        <f t="shared" si="16"/>
        <v>915.5159999999998</v>
      </c>
      <c r="AC81" s="34">
        <f t="shared" si="20"/>
        <v>438.36</v>
      </c>
      <c r="AD81" s="8"/>
      <c r="AE81" s="8"/>
      <c r="AF81" s="34"/>
      <c r="AG81" s="32">
        <f t="shared" si="21"/>
        <v>2204.7119999999995</v>
      </c>
      <c r="AH81" s="32"/>
      <c r="AI81" s="32">
        <f t="shared" si="30"/>
        <v>19505.641</v>
      </c>
    </row>
    <row r="82" spans="1:35" ht="15.75">
      <c r="A82" s="5" t="s">
        <v>68</v>
      </c>
      <c r="B82" s="5" t="s">
        <v>35</v>
      </c>
      <c r="C82" s="6"/>
      <c r="D82" s="29">
        <v>187.1</v>
      </c>
      <c r="E82" s="19">
        <f t="shared" si="22"/>
        <v>808.2719999999999</v>
      </c>
      <c r="F82" s="19">
        <f t="shared" si="23"/>
        <v>2671.7879999999996</v>
      </c>
      <c r="G82" s="19">
        <f t="shared" si="24"/>
        <v>2649.336</v>
      </c>
      <c r="H82" s="19">
        <f t="shared" si="25"/>
        <v>583.752</v>
      </c>
      <c r="I82" s="19">
        <f t="shared" si="26"/>
        <v>134.712</v>
      </c>
      <c r="J82" s="19">
        <f t="shared" si="27"/>
        <v>404.13599999999997</v>
      </c>
      <c r="K82" s="19">
        <f>4*230</f>
        <v>920</v>
      </c>
      <c r="L82" s="8">
        <f>144.73*8</f>
        <v>1157.84</v>
      </c>
      <c r="M82" s="8"/>
      <c r="N82" s="8"/>
      <c r="O82" s="24">
        <f t="shared" si="17"/>
        <v>514.525</v>
      </c>
      <c r="P82" s="32">
        <f t="shared" si="28"/>
        <v>9844.360999999999</v>
      </c>
      <c r="Q82" s="32"/>
      <c r="R82" s="34">
        <f t="shared" si="18"/>
        <v>6903.99</v>
      </c>
      <c r="S82" s="19"/>
      <c r="T82" s="19"/>
      <c r="U82" s="19"/>
      <c r="V82" s="19"/>
      <c r="W82" s="19"/>
      <c r="X82" s="19"/>
      <c r="Y82" s="32">
        <f t="shared" si="29"/>
        <v>0</v>
      </c>
      <c r="Z82" s="32">
        <f t="shared" si="19"/>
        <v>2896.308</v>
      </c>
      <c r="AA82" s="32"/>
      <c r="AB82" s="32">
        <f t="shared" si="16"/>
        <v>1100.1480000000001</v>
      </c>
      <c r="AC82" s="34">
        <f t="shared" si="20"/>
        <v>526.28</v>
      </c>
      <c r="AD82" s="8"/>
      <c r="AE82" s="8"/>
      <c r="AF82" s="34"/>
      <c r="AG82" s="32">
        <f t="shared" si="21"/>
        <v>2649.336</v>
      </c>
      <c r="AH82" s="32"/>
      <c r="AI82" s="32">
        <f t="shared" si="30"/>
        <v>23920.423</v>
      </c>
    </row>
    <row r="83" spans="1:35" ht="15.75">
      <c r="A83" s="3" t="s">
        <v>68</v>
      </c>
      <c r="B83" s="4" t="s">
        <v>71</v>
      </c>
      <c r="C83" s="3" t="s">
        <v>2</v>
      </c>
      <c r="D83" s="29">
        <v>69.6</v>
      </c>
      <c r="E83" s="19">
        <f t="shared" si="22"/>
        <v>300.67199999999997</v>
      </c>
      <c r="F83" s="19">
        <f t="shared" si="23"/>
        <v>993.8879999999998</v>
      </c>
      <c r="G83" s="19">
        <f t="shared" si="24"/>
        <v>985.5359999999998</v>
      </c>
      <c r="H83" s="19">
        <f t="shared" si="25"/>
        <v>217.152</v>
      </c>
      <c r="I83" s="19">
        <f t="shared" si="26"/>
        <v>50.111999999999995</v>
      </c>
      <c r="J83" s="19">
        <f t="shared" si="27"/>
        <v>150.33599999999998</v>
      </c>
      <c r="K83" s="19">
        <f aca="true" t="shared" si="31" ref="K83:K89">2*230</f>
        <v>460</v>
      </c>
      <c r="L83" s="8"/>
      <c r="M83" s="8"/>
      <c r="N83" s="8"/>
      <c r="O83" s="24">
        <f t="shared" si="17"/>
        <v>191.4</v>
      </c>
      <c r="P83" s="32">
        <f t="shared" si="28"/>
        <v>3349.0959999999995</v>
      </c>
      <c r="Q83" s="32"/>
      <c r="R83" s="34">
        <f t="shared" si="18"/>
        <v>2568.24</v>
      </c>
      <c r="S83" s="19"/>
      <c r="T83" s="19"/>
      <c r="U83" s="19"/>
      <c r="V83" s="19"/>
      <c r="W83" s="19"/>
      <c r="X83" s="19"/>
      <c r="Y83" s="32">
        <f t="shared" si="29"/>
        <v>0</v>
      </c>
      <c r="Z83" s="32">
        <f t="shared" si="19"/>
        <v>1077.408</v>
      </c>
      <c r="AA83" s="32"/>
      <c r="AB83" s="32">
        <f t="shared" si="16"/>
        <v>409.248</v>
      </c>
      <c r="AC83" s="34">
        <f t="shared" si="20"/>
        <v>197.28</v>
      </c>
      <c r="AD83" s="8"/>
      <c r="AE83" s="8"/>
      <c r="AF83" s="34"/>
      <c r="AG83" s="32">
        <f t="shared" si="21"/>
        <v>985.5359999999998</v>
      </c>
      <c r="AH83" s="32"/>
      <c r="AI83" s="32">
        <f t="shared" si="30"/>
        <v>8586.807999999997</v>
      </c>
    </row>
    <row r="84" spans="1:35" ht="15.75">
      <c r="A84" s="3" t="s">
        <v>68</v>
      </c>
      <c r="B84" s="4" t="s">
        <v>72</v>
      </c>
      <c r="C84" s="3" t="s">
        <v>2</v>
      </c>
      <c r="D84" s="29">
        <v>108.3</v>
      </c>
      <c r="E84" s="19">
        <f t="shared" si="22"/>
        <v>467.856</v>
      </c>
      <c r="F84" s="19">
        <f t="shared" si="23"/>
        <v>1546.524</v>
      </c>
      <c r="G84" s="19">
        <f t="shared" si="24"/>
        <v>1533.528</v>
      </c>
      <c r="H84" s="19">
        <f t="shared" si="25"/>
        <v>337.896</v>
      </c>
      <c r="I84" s="19">
        <f t="shared" si="26"/>
        <v>77.976</v>
      </c>
      <c r="J84" s="19">
        <f t="shared" si="27"/>
        <v>233.928</v>
      </c>
      <c r="K84" s="19">
        <f t="shared" si="31"/>
        <v>460</v>
      </c>
      <c r="L84" s="8"/>
      <c r="M84" s="8"/>
      <c r="N84" s="8"/>
      <c r="O84" s="24">
        <f t="shared" si="17"/>
        <v>297.82500000000005</v>
      </c>
      <c r="P84" s="32">
        <f t="shared" si="28"/>
        <v>4955.533</v>
      </c>
      <c r="Q84" s="32"/>
      <c r="R84" s="34">
        <f t="shared" si="18"/>
        <v>3996.2699999999995</v>
      </c>
      <c r="S84" s="19"/>
      <c r="T84" s="19"/>
      <c r="U84" s="19"/>
      <c r="V84" s="19"/>
      <c r="W84" s="19"/>
      <c r="X84" s="19"/>
      <c r="Y84" s="32">
        <f t="shared" si="29"/>
        <v>0</v>
      </c>
      <c r="Z84" s="32">
        <f t="shared" si="19"/>
        <v>1676.484</v>
      </c>
      <c r="AA84" s="32"/>
      <c r="AB84" s="32">
        <f t="shared" si="16"/>
        <v>636.804</v>
      </c>
      <c r="AC84" s="34">
        <f t="shared" si="20"/>
        <v>305.64</v>
      </c>
      <c r="AD84" s="8"/>
      <c r="AE84" s="8"/>
      <c r="AF84" s="34"/>
      <c r="AG84" s="32">
        <f t="shared" si="21"/>
        <v>1533.528</v>
      </c>
      <c r="AH84" s="32"/>
      <c r="AI84" s="32">
        <f t="shared" si="30"/>
        <v>13104.259</v>
      </c>
    </row>
    <row r="85" spans="1:35" ht="15.75">
      <c r="A85" s="3" t="s">
        <v>68</v>
      </c>
      <c r="B85" s="4" t="s">
        <v>44</v>
      </c>
      <c r="C85" s="3" t="s">
        <v>2</v>
      </c>
      <c r="D85" s="26">
        <v>118</v>
      </c>
      <c r="E85" s="19">
        <f t="shared" si="22"/>
        <v>509.76</v>
      </c>
      <c r="F85" s="19">
        <f t="shared" si="23"/>
        <v>1685.04</v>
      </c>
      <c r="G85" s="19">
        <f t="shared" si="24"/>
        <v>1670.8799999999997</v>
      </c>
      <c r="H85" s="19">
        <f t="shared" si="25"/>
        <v>368.15999999999997</v>
      </c>
      <c r="I85" s="19">
        <f t="shared" si="26"/>
        <v>84.96000000000001</v>
      </c>
      <c r="J85" s="19">
        <f t="shared" si="27"/>
        <v>254.88</v>
      </c>
      <c r="K85" s="19">
        <f t="shared" si="31"/>
        <v>460</v>
      </c>
      <c r="L85" s="8">
        <f>144.73*6</f>
        <v>868.3799999999999</v>
      </c>
      <c r="M85" s="8"/>
      <c r="N85" s="8"/>
      <c r="O85" s="24">
        <f t="shared" si="17"/>
        <v>324.5</v>
      </c>
      <c r="P85" s="32">
        <f t="shared" si="28"/>
        <v>6226.56</v>
      </c>
      <c r="Q85" s="32"/>
      <c r="R85" s="34">
        <f t="shared" si="18"/>
        <v>4354.2</v>
      </c>
      <c r="S85" s="19"/>
      <c r="T85" s="19"/>
      <c r="U85" s="19"/>
      <c r="V85" s="19"/>
      <c r="W85" s="19"/>
      <c r="X85" s="19"/>
      <c r="Y85" s="32">
        <f t="shared" si="29"/>
        <v>0</v>
      </c>
      <c r="Z85" s="32">
        <f t="shared" si="19"/>
        <v>1826.6399999999999</v>
      </c>
      <c r="AA85" s="32"/>
      <c r="AB85" s="32">
        <f t="shared" si="16"/>
        <v>693.84</v>
      </c>
      <c r="AC85" s="34">
        <f t="shared" si="20"/>
        <v>332.8</v>
      </c>
      <c r="AD85" s="8"/>
      <c r="AE85" s="8"/>
      <c r="AF85" s="34"/>
      <c r="AG85" s="32">
        <f t="shared" si="21"/>
        <v>1670.8799999999997</v>
      </c>
      <c r="AH85" s="32"/>
      <c r="AI85" s="32">
        <f t="shared" si="30"/>
        <v>15104.919999999998</v>
      </c>
    </row>
    <row r="86" spans="1:35" ht="15.75">
      <c r="A86" s="5" t="s">
        <v>68</v>
      </c>
      <c r="B86" s="5" t="s">
        <v>3</v>
      </c>
      <c r="C86" s="6"/>
      <c r="D86" s="26">
        <v>70</v>
      </c>
      <c r="E86" s="19">
        <f t="shared" si="22"/>
        <v>302.4</v>
      </c>
      <c r="F86" s="19">
        <f t="shared" si="23"/>
        <v>999.5999999999999</v>
      </c>
      <c r="G86" s="19">
        <f t="shared" si="24"/>
        <v>991.1999999999999</v>
      </c>
      <c r="H86" s="19">
        <f t="shared" si="25"/>
        <v>218.39999999999998</v>
      </c>
      <c r="I86" s="19">
        <f t="shared" si="26"/>
        <v>50.400000000000006</v>
      </c>
      <c r="J86" s="19">
        <f t="shared" si="27"/>
        <v>151.2</v>
      </c>
      <c r="K86" s="19">
        <f t="shared" si="31"/>
        <v>460</v>
      </c>
      <c r="L86" s="8">
        <f>144.73*6</f>
        <v>868.3799999999999</v>
      </c>
      <c r="M86" s="8"/>
      <c r="N86" s="8"/>
      <c r="O86" s="24">
        <f t="shared" si="17"/>
        <v>192.5</v>
      </c>
      <c r="P86" s="32">
        <f t="shared" si="28"/>
        <v>4234.08</v>
      </c>
      <c r="Q86" s="32"/>
      <c r="R86" s="34">
        <f t="shared" si="18"/>
        <v>2583</v>
      </c>
      <c r="S86" s="19"/>
      <c r="T86" s="19"/>
      <c r="U86" s="19"/>
      <c r="V86" s="19"/>
      <c r="W86" s="19"/>
      <c r="X86" s="19"/>
      <c r="Y86" s="32">
        <f t="shared" si="29"/>
        <v>0</v>
      </c>
      <c r="Z86" s="32">
        <f t="shared" si="19"/>
        <v>1083.6</v>
      </c>
      <c r="AA86" s="32"/>
      <c r="AB86" s="32">
        <f t="shared" si="16"/>
        <v>411.59999999999997</v>
      </c>
      <c r="AC86" s="34">
        <f t="shared" si="20"/>
        <v>198.4</v>
      </c>
      <c r="AD86" s="8"/>
      <c r="AE86" s="8"/>
      <c r="AF86" s="34"/>
      <c r="AG86" s="32">
        <f t="shared" si="21"/>
        <v>991.1999999999999</v>
      </c>
      <c r="AH86" s="32"/>
      <c r="AI86" s="32">
        <f t="shared" si="30"/>
        <v>9501.880000000001</v>
      </c>
    </row>
    <row r="87" spans="1:35" s="52" customFormat="1" ht="15.75">
      <c r="A87" s="48" t="s">
        <v>68</v>
      </c>
      <c r="B87" s="48" t="s">
        <v>65</v>
      </c>
      <c r="C87" s="6"/>
      <c r="D87" s="29">
        <v>110.7</v>
      </c>
      <c r="E87" s="49">
        <f t="shared" si="22"/>
        <v>478.22399999999993</v>
      </c>
      <c r="F87" s="49">
        <f t="shared" si="23"/>
        <v>1580.796</v>
      </c>
      <c r="G87" s="49">
        <f t="shared" si="24"/>
        <v>1567.5120000000002</v>
      </c>
      <c r="H87" s="49">
        <f t="shared" si="25"/>
        <v>345.384</v>
      </c>
      <c r="I87" s="49">
        <f t="shared" si="26"/>
        <v>79.70400000000001</v>
      </c>
      <c r="J87" s="49">
        <f t="shared" si="27"/>
        <v>239.11199999999997</v>
      </c>
      <c r="K87" s="49">
        <f t="shared" si="31"/>
        <v>460</v>
      </c>
      <c r="L87" s="3">
        <f>144.73*7</f>
        <v>1013.1099999999999</v>
      </c>
      <c r="M87" s="3"/>
      <c r="N87" s="3"/>
      <c r="O87" s="49">
        <f t="shared" si="17"/>
        <v>304.425</v>
      </c>
      <c r="P87" s="50">
        <f t="shared" si="28"/>
        <v>6068.267</v>
      </c>
      <c r="Q87" s="50">
        <f>D87*1.27*5+D87*1.34*7</f>
        <v>1741.3110000000001</v>
      </c>
      <c r="R87" s="51">
        <f t="shared" si="18"/>
        <v>4084.8300000000004</v>
      </c>
      <c r="S87" s="49"/>
      <c r="T87" s="49"/>
      <c r="U87" s="49"/>
      <c r="V87" s="49"/>
      <c r="W87" s="49"/>
      <c r="X87" s="49"/>
      <c r="Y87" s="50">
        <f t="shared" si="29"/>
        <v>0</v>
      </c>
      <c r="Z87" s="50">
        <f t="shared" si="19"/>
        <v>1713.636</v>
      </c>
      <c r="AA87" s="50"/>
      <c r="AB87" s="50">
        <f t="shared" si="16"/>
        <v>650.916</v>
      </c>
      <c r="AC87" s="51">
        <f t="shared" si="20"/>
        <v>312.36</v>
      </c>
      <c r="AD87" s="3"/>
      <c r="AE87" s="3"/>
      <c r="AF87" s="51"/>
      <c r="AG87" s="50">
        <f t="shared" si="21"/>
        <v>1567.5120000000002</v>
      </c>
      <c r="AH87" s="50"/>
      <c r="AI87" s="50">
        <f t="shared" si="30"/>
        <v>16138.832</v>
      </c>
    </row>
    <row r="88" spans="1:35" ht="15.75">
      <c r="A88" s="3" t="s">
        <v>68</v>
      </c>
      <c r="B88" s="4" t="s">
        <v>73</v>
      </c>
      <c r="C88" s="3" t="s">
        <v>2</v>
      </c>
      <c r="D88" s="26">
        <v>90.6</v>
      </c>
      <c r="E88" s="19">
        <f t="shared" si="22"/>
        <v>391.392</v>
      </c>
      <c r="F88" s="19">
        <f t="shared" si="23"/>
        <v>1293.768</v>
      </c>
      <c r="G88" s="19">
        <f t="shared" si="24"/>
        <v>1282.8959999999997</v>
      </c>
      <c r="H88" s="19">
        <f t="shared" si="25"/>
        <v>282.672</v>
      </c>
      <c r="I88" s="19">
        <f t="shared" si="26"/>
        <v>65.23199999999999</v>
      </c>
      <c r="J88" s="19">
        <f t="shared" si="27"/>
        <v>195.696</v>
      </c>
      <c r="K88" s="19">
        <f t="shared" si="31"/>
        <v>460</v>
      </c>
      <c r="L88" s="8">
        <f>144.73*6</f>
        <v>868.3799999999999</v>
      </c>
      <c r="M88" s="8"/>
      <c r="N88" s="8"/>
      <c r="O88" s="24">
        <f t="shared" si="17"/>
        <v>249.14999999999998</v>
      </c>
      <c r="P88" s="32">
        <f t="shared" si="28"/>
        <v>5089.185999999999</v>
      </c>
      <c r="Q88" s="32"/>
      <c r="R88" s="34">
        <f t="shared" si="18"/>
        <v>3343.1399999999994</v>
      </c>
      <c r="S88" s="19"/>
      <c r="T88" s="19"/>
      <c r="U88" s="19"/>
      <c r="V88" s="19"/>
      <c r="W88" s="19"/>
      <c r="X88" s="19"/>
      <c r="Y88" s="32">
        <f t="shared" si="29"/>
        <v>0</v>
      </c>
      <c r="Z88" s="32">
        <f t="shared" si="19"/>
        <v>1402.4879999999998</v>
      </c>
      <c r="AA88" s="32"/>
      <c r="AB88" s="32">
        <f t="shared" si="16"/>
        <v>532.728</v>
      </c>
      <c r="AC88" s="34">
        <f t="shared" si="20"/>
        <v>256.08</v>
      </c>
      <c r="AD88" s="8"/>
      <c r="AE88" s="8"/>
      <c r="AF88" s="34"/>
      <c r="AG88" s="32">
        <f t="shared" si="21"/>
        <v>1282.8959999999997</v>
      </c>
      <c r="AH88" s="32"/>
      <c r="AI88" s="32">
        <f t="shared" si="30"/>
        <v>11906.517999999996</v>
      </c>
    </row>
    <row r="89" spans="1:35" ht="15.75">
      <c r="A89" s="5" t="s">
        <v>68</v>
      </c>
      <c r="B89" s="5" t="s">
        <v>67</v>
      </c>
      <c r="C89" s="6"/>
      <c r="D89" s="26">
        <v>94.7</v>
      </c>
      <c r="E89" s="19">
        <f t="shared" si="22"/>
        <v>409.104</v>
      </c>
      <c r="F89" s="19">
        <f t="shared" si="23"/>
        <v>1352.316</v>
      </c>
      <c r="G89" s="19">
        <f t="shared" si="24"/>
        <v>1340.952</v>
      </c>
      <c r="H89" s="19">
        <f t="shared" si="25"/>
        <v>295.464</v>
      </c>
      <c r="I89" s="19">
        <f t="shared" si="26"/>
        <v>68.184</v>
      </c>
      <c r="J89" s="19">
        <f t="shared" si="27"/>
        <v>204.552</v>
      </c>
      <c r="K89" s="19">
        <f t="shared" si="31"/>
        <v>460</v>
      </c>
      <c r="L89" s="8"/>
      <c r="M89" s="8"/>
      <c r="N89" s="8"/>
      <c r="O89" s="24">
        <f t="shared" si="17"/>
        <v>260.42500000000007</v>
      </c>
      <c r="P89" s="32">
        <f t="shared" si="28"/>
        <v>4390.997</v>
      </c>
      <c r="Q89" s="32"/>
      <c r="R89" s="34">
        <f t="shared" si="18"/>
        <v>3494.4300000000003</v>
      </c>
      <c r="S89" s="19"/>
      <c r="T89" s="19"/>
      <c r="U89" s="19"/>
      <c r="V89" s="19"/>
      <c r="W89" s="19"/>
      <c r="X89" s="19"/>
      <c r="Y89" s="32">
        <f t="shared" si="29"/>
        <v>0</v>
      </c>
      <c r="Z89" s="32">
        <f t="shared" si="19"/>
        <v>1465.9560000000001</v>
      </c>
      <c r="AA89" s="32"/>
      <c r="AB89" s="32">
        <f t="shared" si="16"/>
        <v>556.836</v>
      </c>
      <c r="AC89" s="34">
        <f t="shared" si="20"/>
        <v>267.56</v>
      </c>
      <c r="AD89" s="8"/>
      <c r="AE89" s="8"/>
      <c r="AF89" s="34"/>
      <c r="AG89" s="32">
        <f t="shared" si="21"/>
        <v>1340.952</v>
      </c>
      <c r="AH89" s="32">
        <v>57500</v>
      </c>
      <c r="AI89" s="32">
        <f t="shared" si="30"/>
        <v>69016.731</v>
      </c>
    </row>
    <row r="90" spans="1:35" ht="15.75">
      <c r="A90" s="3" t="s">
        <v>74</v>
      </c>
      <c r="B90" s="4" t="s">
        <v>34</v>
      </c>
      <c r="C90" s="3" t="s">
        <v>2</v>
      </c>
      <c r="D90" s="26">
        <v>607.3</v>
      </c>
      <c r="E90" s="19">
        <f t="shared" si="22"/>
        <v>2623.536</v>
      </c>
      <c r="F90" s="19">
        <f t="shared" si="23"/>
        <v>8672.243999999999</v>
      </c>
      <c r="G90" s="19">
        <f t="shared" si="24"/>
        <v>8599.367999999999</v>
      </c>
      <c r="H90" s="19">
        <f t="shared" si="25"/>
        <v>1894.7759999999998</v>
      </c>
      <c r="I90" s="19">
        <f t="shared" si="26"/>
        <v>437.256</v>
      </c>
      <c r="J90" s="19">
        <f t="shared" si="27"/>
        <v>1311.768</v>
      </c>
      <c r="K90" s="19">
        <f>12*8*4+12*6*2</f>
        <v>528</v>
      </c>
      <c r="L90" s="8"/>
      <c r="M90" s="8"/>
      <c r="N90" s="8">
        <f>667*20.77</f>
        <v>13853.59</v>
      </c>
      <c r="O90" s="24">
        <f t="shared" si="17"/>
        <v>1670.0749999999998</v>
      </c>
      <c r="P90" s="32">
        <f t="shared" si="28"/>
        <v>39590.613</v>
      </c>
      <c r="Q90" s="32"/>
      <c r="R90" s="34">
        <f t="shared" si="18"/>
        <v>22409.37</v>
      </c>
      <c r="S90" s="19"/>
      <c r="T90" s="19"/>
      <c r="U90" s="19"/>
      <c r="V90" s="19">
        <f>216*150</f>
        <v>32400</v>
      </c>
      <c r="W90" s="19"/>
      <c r="X90" s="19"/>
      <c r="Y90" s="32">
        <f t="shared" si="29"/>
        <v>32400</v>
      </c>
      <c r="Z90" s="32">
        <f t="shared" si="19"/>
        <v>9401.003999999999</v>
      </c>
      <c r="AA90" s="32"/>
      <c r="AB90" s="32">
        <f t="shared" si="16"/>
        <v>3570.924</v>
      </c>
      <c r="AC90" s="34">
        <f t="shared" si="20"/>
        <v>1702.84</v>
      </c>
      <c r="AD90" s="8"/>
      <c r="AE90" s="8"/>
      <c r="AF90" s="34"/>
      <c r="AG90" s="32">
        <f t="shared" si="21"/>
        <v>8599.367999999999</v>
      </c>
      <c r="AH90" s="32">
        <v>57500</v>
      </c>
      <c r="AI90" s="32">
        <f t="shared" si="30"/>
        <v>175174.119</v>
      </c>
    </row>
    <row r="91" spans="1:35" ht="15.75">
      <c r="A91" s="3" t="s">
        <v>74</v>
      </c>
      <c r="B91" s="4" t="s">
        <v>75</v>
      </c>
      <c r="C91" s="3" t="s">
        <v>2</v>
      </c>
      <c r="D91" s="26">
        <v>449.3</v>
      </c>
      <c r="E91" s="19">
        <f t="shared" si="22"/>
        <v>1940.9759999999999</v>
      </c>
      <c r="F91" s="19">
        <f t="shared" si="23"/>
        <v>6416.004000000001</v>
      </c>
      <c r="G91" s="19">
        <f t="shared" si="24"/>
        <v>6362.088</v>
      </c>
      <c r="H91" s="19">
        <f t="shared" si="25"/>
        <v>1401.8160000000003</v>
      </c>
      <c r="I91" s="19">
        <f t="shared" si="26"/>
        <v>323.496</v>
      </c>
      <c r="J91" s="19">
        <f t="shared" si="27"/>
        <v>970.4879999999999</v>
      </c>
      <c r="K91" s="19">
        <f>12*6*2</f>
        <v>144</v>
      </c>
      <c r="L91" s="8"/>
      <c r="M91" s="8"/>
      <c r="N91" s="8"/>
      <c r="O91" s="24">
        <f t="shared" si="17"/>
        <v>1235.5750000000003</v>
      </c>
      <c r="P91" s="32">
        <f t="shared" si="28"/>
        <v>18794.443000000003</v>
      </c>
      <c r="Q91" s="32"/>
      <c r="R91" s="34">
        <f t="shared" si="18"/>
        <v>16579.170000000002</v>
      </c>
      <c r="S91" s="19"/>
      <c r="T91" s="19"/>
      <c r="U91" s="19"/>
      <c r="V91" s="19"/>
      <c r="W91" s="19"/>
      <c r="X91" s="19"/>
      <c r="Y91" s="32">
        <f t="shared" si="29"/>
        <v>0</v>
      </c>
      <c r="Z91" s="32">
        <f t="shared" si="19"/>
        <v>6955.164</v>
      </c>
      <c r="AA91" s="32"/>
      <c r="AB91" s="32">
        <f t="shared" si="16"/>
        <v>2641.884</v>
      </c>
      <c r="AC91" s="34">
        <f t="shared" si="20"/>
        <v>1260.4400000000003</v>
      </c>
      <c r="AD91" s="8"/>
      <c r="AE91" s="8"/>
      <c r="AF91" s="34"/>
      <c r="AG91" s="32">
        <f t="shared" si="21"/>
        <v>6362.088</v>
      </c>
      <c r="AH91" s="32"/>
      <c r="AI91" s="32">
        <f t="shared" si="30"/>
        <v>52593.189</v>
      </c>
    </row>
    <row r="92" spans="1:35" ht="15.75">
      <c r="A92" s="3" t="s">
        <v>74</v>
      </c>
      <c r="B92" s="4" t="s">
        <v>41</v>
      </c>
      <c r="C92" s="3" t="s">
        <v>2</v>
      </c>
      <c r="D92" s="29">
        <v>286.4</v>
      </c>
      <c r="E92" s="19">
        <f t="shared" si="22"/>
        <v>1237.2479999999998</v>
      </c>
      <c r="F92" s="19">
        <f t="shared" si="23"/>
        <v>4089.7919999999995</v>
      </c>
      <c r="G92" s="19">
        <f t="shared" si="24"/>
        <v>4055.423999999999</v>
      </c>
      <c r="H92" s="19">
        <f t="shared" si="25"/>
        <v>893.568</v>
      </c>
      <c r="I92" s="19">
        <f t="shared" si="26"/>
        <v>206.20799999999997</v>
      </c>
      <c r="J92" s="19">
        <f t="shared" si="27"/>
        <v>618.6239999999999</v>
      </c>
      <c r="K92" s="19">
        <f>8*6*2</f>
        <v>96</v>
      </c>
      <c r="L92" s="8">
        <f>144.73*12</f>
        <v>1736.7599999999998</v>
      </c>
      <c r="M92" s="8"/>
      <c r="N92" s="8"/>
      <c r="O92" s="24">
        <f t="shared" si="17"/>
        <v>787.6</v>
      </c>
      <c r="P92" s="32">
        <f t="shared" si="28"/>
        <v>13721.223999999998</v>
      </c>
      <c r="Q92" s="32"/>
      <c r="R92" s="34">
        <f t="shared" si="18"/>
        <v>10568.16</v>
      </c>
      <c r="S92" s="19"/>
      <c r="T92" s="19"/>
      <c r="U92" s="19"/>
      <c r="V92" s="19"/>
      <c r="W92" s="19"/>
      <c r="X92" s="19"/>
      <c r="Y92" s="32">
        <f t="shared" si="29"/>
        <v>0</v>
      </c>
      <c r="Z92" s="32">
        <f t="shared" si="19"/>
        <v>4433.472</v>
      </c>
      <c r="AA92" s="32"/>
      <c r="AB92" s="32">
        <f t="shared" si="16"/>
        <v>1684.0319999999997</v>
      </c>
      <c r="AC92" s="34">
        <f t="shared" si="20"/>
        <v>804.32</v>
      </c>
      <c r="AD92" s="8"/>
      <c r="AE92" s="8"/>
      <c r="AF92" s="34"/>
      <c r="AG92" s="32">
        <f t="shared" si="21"/>
        <v>4055.423999999999</v>
      </c>
      <c r="AH92" s="32"/>
      <c r="AI92" s="32">
        <f t="shared" si="30"/>
        <v>35266.632</v>
      </c>
    </row>
    <row r="93" spans="1:35" ht="15.75">
      <c r="A93" s="3" t="s">
        <v>74</v>
      </c>
      <c r="B93" s="4" t="s">
        <v>42</v>
      </c>
      <c r="C93" s="3" t="s">
        <v>2</v>
      </c>
      <c r="D93" s="26">
        <v>630.6</v>
      </c>
      <c r="E93" s="19">
        <f t="shared" si="22"/>
        <v>2724.192</v>
      </c>
      <c r="F93" s="19">
        <f t="shared" si="23"/>
        <v>9004.968</v>
      </c>
      <c r="G93" s="19">
        <f t="shared" si="24"/>
        <v>8929.295999999998</v>
      </c>
      <c r="H93" s="19">
        <f t="shared" si="25"/>
        <v>1967.4720000000002</v>
      </c>
      <c r="I93" s="19">
        <f t="shared" si="26"/>
        <v>454.032</v>
      </c>
      <c r="J93" s="19">
        <f t="shared" si="27"/>
        <v>1362.096</v>
      </c>
      <c r="K93" s="19">
        <f>16*6*2</f>
        <v>192</v>
      </c>
      <c r="L93" s="8"/>
      <c r="M93" s="8"/>
      <c r="N93" s="8">
        <f>560*20.77</f>
        <v>11631.199999999999</v>
      </c>
      <c r="O93" s="24">
        <f t="shared" si="17"/>
        <v>1734.15</v>
      </c>
      <c r="P93" s="32">
        <f t="shared" si="28"/>
        <v>37999.406</v>
      </c>
      <c r="Q93" s="32"/>
      <c r="R93" s="34">
        <f t="shared" si="18"/>
        <v>23269.140000000003</v>
      </c>
      <c r="S93" s="19"/>
      <c r="T93" s="19"/>
      <c r="U93" s="19"/>
      <c r="V93" s="19"/>
      <c r="W93" s="19"/>
      <c r="X93" s="19"/>
      <c r="Y93" s="32">
        <f t="shared" si="29"/>
        <v>0</v>
      </c>
      <c r="Z93" s="32">
        <f t="shared" si="19"/>
        <v>9761.688</v>
      </c>
      <c r="AA93" s="32"/>
      <c r="AB93" s="32">
        <f t="shared" si="16"/>
        <v>3707.9280000000003</v>
      </c>
      <c r="AC93" s="34">
        <f t="shared" si="20"/>
        <v>1768.0800000000002</v>
      </c>
      <c r="AD93" s="8"/>
      <c r="AE93" s="8"/>
      <c r="AF93" s="34"/>
      <c r="AG93" s="32">
        <f t="shared" si="21"/>
        <v>8929.295999999998</v>
      </c>
      <c r="AH93" s="32"/>
      <c r="AI93" s="32">
        <f t="shared" si="30"/>
        <v>85435.538</v>
      </c>
    </row>
    <row r="94" spans="1:35" ht="15.75">
      <c r="A94" s="3" t="s">
        <v>74</v>
      </c>
      <c r="B94" s="4" t="s">
        <v>14</v>
      </c>
      <c r="C94" s="3" t="s">
        <v>2</v>
      </c>
      <c r="D94" s="26">
        <v>594.6</v>
      </c>
      <c r="E94" s="19">
        <f t="shared" si="22"/>
        <v>2568.672</v>
      </c>
      <c r="F94" s="19">
        <f t="shared" si="23"/>
        <v>8490.887999999999</v>
      </c>
      <c r="G94" s="19">
        <f t="shared" si="24"/>
        <v>8419.536</v>
      </c>
      <c r="H94" s="19">
        <f t="shared" si="25"/>
        <v>1855.152</v>
      </c>
      <c r="I94" s="19">
        <f t="shared" si="26"/>
        <v>428.112</v>
      </c>
      <c r="J94" s="19">
        <f t="shared" si="27"/>
        <v>1284.336</v>
      </c>
      <c r="K94" s="19">
        <f>10*6*2</f>
        <v>120</v>
      </c>
      <c r="L94" s="8"/>
      <c r="M94" s="8"/>
      <c r="N94" s="8">
        <f>393*20.77</f>
        <v>8162.61</v>
      </c>
      <c r="O94" s="24">
        <f t="shared" si="17"/>
        <v>1635.15</v>
      </c>
      <c r="P94" s="32">
        <f t="shared" si="28"/>
        <v>32964.456</v>
      </c>
      <c r="Q94" s="32"/>
      <c r="R94" s="34">
        <f t="shared" si="18"/>
        <v>21940.740000000005</v>
      </c>
      <c r="S94" s="19"/>
      <c r="T94" s="19"/>
      <c r="U94" s="19"/>
      <c r="V94" s="19">
        <f>101*150</f>
        <v>15150</v>
      </c>
      <c r="W94" s="19"/>
      <c r="X94" s="19"/>
      <c r="Y94" s="32">
        <f t="shared" si="29"/>
        <v>15150</v>
      </c>
      <c r="Z94" s="32">
        <f t="shared" si="19"/>
        <v>9204.408000000001</v>
      </c>
      <c r="AA94" s="32"/>
      <c r="AB94" s="32">
        <f t="shared" si="16"/>
        <v>3496.2479999999996</v>
      </c>
      <c r="AC94" s="34">
        <f t="shared" si="20"/>
        <v>1667.2800000000002</v>
      </c>
      <c r="AD94" s="8"/>
      <c r="AE94" s="8"/>
      <c r="AF94" s="34"/>
      <c r="AG94" s="32">
        <f t="shared" si="21"/>
        <v>8419.536</v>
      </c>
      <c r="AH94" s="32"/>
      <c r="AI94" s="32">
        <f t="shared" si="30"/>
        <v>92842.66799999998</v>
      </c>
    </row>
    <row r="95" spans="1:35" ht="15.75">
      <c r="A95" s="3" t="s">
        <v>74</v>
      </c>
      <c r="B95" s="4" t="s">
        <v>76</v>
      </c>
      <c r="C95" s="3" t="s">
        <v>2</v>
      </c>
      <c r="D95" s="26">
        <v>276.8</v>
      </c>
      <c r="E95" s="19">
        <f t="shared" si="22"/>
        <v>1195.7759999999998</v>
      </c>
      <c r="F95" s="19">
        <f t="shared" si="23"/>
        <v>3952.7039999999997</v>
      </c>
      <c r="G95" s="19">
        <f t="shared" si="24"/>
        <v>3919.4880000000003</v>
      </c>
      <c r="H95" s="19">
        <f t="shared" si="25"/>
        <v>863.616</v>
      </c>
      <c r="I95" s="19">
        <f t="shared" si="26"/>
        <v>199.296</v>
      </c>
      <c r="J95" s="19">
        <f t="shared" si="27"/>
        <v>597.8879999999999</v>
      </c>
      <c r="K95" s="19">
        <f>8*6*2</f>
        <v>96</v>
      </c>
      <c r="L95" s="8">
        <f>144.73*12</f>
        <v>1736.7599999999998</v>
      </c>
      <c r="M95" s="8"/>
      <c r="N95" s="8">
        <f>257*20.77</f>
        <v>5337.89</v>
      </c>
      <c r="O95" s="24">
        <f t="shared" si="17"/>
        <v>761.2</v>
      </c>
      <c r="P95" s="32">
        <f t="shared" si="28"/>
        <v>18660.618000000002</v>
      </c>
      <c r="Q95" s="32"/>
      <c r="R95" s="34">
        <f t="shared" si="18"/>
        <v>10213.920000000002</v>
      </c>
      <c r="S95" s="19"/>
      <c r="T95" s="19"/>
      <c r="U95" s="19"/>
      <c r="V95" s="19"/>
      <c r="W95" s="19"/>
      <c r="X95" s="19"/>
      <c r="Y95" s="32">
        <f t="shared" si="29"/>
        <v>0</v>
      </c>
      <c r="Z95" s="32">
        <f t="shared" si="19"/>
        <v>4284.864</v>
      </c>
      <c r="AA95" s="32"/>
      <c r="AB95" s="32">
        <f aca="true" t="shared" si="32" ref="AB95:AB158">D95*0.49*12</f>
        <v>1627.584</v>
      </c>
      <c r="AC95" s="34">
        <f t="shared" si="20"/>
        <v>777.44</v>
      </c>
      <c r="AD95" s="8"/>
      <c r="AE95" s="8"/>
      <c r="AF95" s="34"/>
      <c r="AG95" s="32">
        <f t="shared" si="21"/>
        <v>3919.4880000000003</v>
      </c>
      <c r="AH95" s="32"/>
      <c r="AI95" s="32">
        <f t="shared" si="30"/>
        <v>39483.914000000004</v>
      </c>
    </row>
    <row r="96" spans="1:35" ht="15.75">
      <c r="A96" s="3" t="s">
        <v>74</v>
      </c>
      <c r="B96" s="4" t="s">
        <v>67</v>
      </c>
      <c r="C96" s="3" t="s">
        <v>2</v>
      </c>
      <c r="D96" s="29">
        <v>375</v>
      </c>
      <c r="E96" s="19">
        <f t="shared" si="22"/>
        <v>1620</v>
      </c>
      <c r="F96" s="19">
        <f t="shared" si="23"/>
        <v>5355</v>
      </c>
      <c r="G96" s="19">
        <f t="shared" si="24"/>
        <v>5310</v>
      </c>
      <c r="H96" s="19">
        <f t="shared" si="25"/>
        <v>1170</v>
      </c>
      <c r="I96" s="19">
        <f t="shared" si="26"/>
        <v>270</v>
      </c>
      <c r="J96" s="19">
        <f t="shared" si="27"/>
        <v>810</v>
      </c>
      <c r="K96" s="19">
        <f>8*8*4+8*6*2</f>
        <v>352</v>
      </c>
      <c r="L96" s="8"/>
      <c r="M96" s="8"/>
      <c r="N96" s="8"/>
      <c r="O96" s="24">
        <f t="shared" si="17"/>
        <v>1031.2500000000002</v>
      </c>
      <c r="P96" s="32">
        <f t="shared" si="28"/>
        <v>15918.25</v>
      </c>
      <c r="Q96" s="32"/>
      <c r="R96" s="34">
        <f t="shared" si="18"/>
        <v>13837.5</v>
      </c>
      <c r="S96" s="19"/>
      <c r="T96" s="19"/>
      <c r="U96" s="19"/>
      <c r="V96" s="19"/>
      <c r="W96" s="19"/>
      <c r="X96" s="19"/>
      <c r="Y96" s="32">
        <f t="shared" si="29"/>
        <v>0</v>
      </c>
      <c r="Z96" s="32">
        <f t="shared" si="19"/>
        <v>5805</v>
      </c>
      <c r="AA96" s="32"/>
      <c r="AB96" s="32">
        <f t="shared" si="32"/>
        <v>2205</v>
      </c>
      <c r="AC96" s="34">
        <f t="shared" si="20"/>
        <v>1052.4</v>
      </c>
      <c r="AD96" s="8"/>
      <c r="AE96" s="8"/>
      <c r="AF96" s="34"/>
      <c r="AG96" s="32">
        <f t="shared" si="21"/>
        <v>5310</v>
      </c>
      <c r="AH96" s="32"/>
      <c r="AI96" s="32">
        <f t="shared" si="30"/>
        <v>44128.15</v>
      </c>
    </row>
    <row r="97" spans="1:35" ht="15.75">
      <c r="A97" s="5" t="s">
        <v>77</v>
      </c>
      <c r="B97" s="5" t="s">
        <v>6</v>
      </c>
      <c r="C97" s="6"/>
      <c r="D97" s="29">
        <v>235.3</v>
      </c>
      <c r="E97" s="19">
        <f t="shared" si="22"/>
        <v>1016.496</v>
      </c>
      <c r="F97" s="19">
        <f t="shared" si="23"/>
        <v>3360.084</v>
      </c>
      <c r="G97" s="19">
        <f t="shared" si="24"/>
        <v>3331.848</v>
      </c>
      <c r="H97" s="19">
        <f t="shared" si="25"/>
        <v>734.1360000000001</v>
      </c>
      <c r="I97" s="19">
        <f t="shared" si="26"/>
        <v>169.416</v>
      </c>
      <c r="J97" s="19">
        <f t="shared" si="27"/>
        <v>508.248</v>
      </c>
      <c r="K97" s="19">
        <f>3*230</f>
        <v>690</v>
      </c>
      <c r="L97" s="8"/>
      <c r="M97" s="8"/>
      <c r="N97" s="8"/>
      <c r="O97" s="24">
        <f t="shared" si="17"/>
        <v>647.075</v>
      </c>
      <c r="P97" s="32">
        <f t="shared" si="28"/>
        <v>10457.303</v>
      </c>
      <c r="Q97" s="32"/>
      <c r="R97" s="34">
        <f t="shared" si="18"/>
        <v>8682.570000000002</v>
      </c>
      <c r="S97" s="19"/>
      <c r="T97" s="19"/>
      <c r="U97" s="19"/>
      <c r="V97" s="19"/>
      <c r="W97" s="19"/>
      <c r="X97" s="19"/>
      <c r="Y97" s="32">
        <f t="shared" si="29"/>
        <v>0</v>
      </c>
      <c r="Z97" s="32">
        <f t="shared" si="19"/>
        <v>3642.4440000000004</v>
      </c>
      <c r="AA97" s="32"/>
      <c r="AB97" s="32">
        <f t="shared" si="32"/>
        <v>1383.5639999999999</v>
      </c>
      <c r="AC97" s="34">
        <f t="shared" si="20"/>
        <v>661.24</v>
      </c>
      <c r="AD97" s="8"/>
      <c r="AE97" s="8"/>
      <c r="AF97" s="34"/>
      <c r="AG97" s="32">
        <f t="shared" si="21"/>
        <v>3331.848</v>
      </c>
      <c r="AH97" s="32"/>
      <c r="AI97" s="32">
        <f t="shared" si="30"/>
        <v>28158.968999999997</v>
      </c>
    </row>
    <row r="98" spans="1:35" ht="15.75">
      <c r="A98" s="5" t="s">
        <v>77</v>
      </c>
      <c r="B98" s="5" t="s">
        <v>78</v>
      </c>
      <c r="C98" s="6"/>
      <c r="D98" s="26">
        <v>88.5</v>
      </c>
      <c r="E98" s="19">
        <f t="shared" si="22"/>
        <v>382.32</v>
      </c>
      <c r="F98" s="19">
        <f t="shared" si="23"/>
        <v>1263.78</v>
      </c>
      <c r="G98" s="19">
        <f t="shared" si="24"/>
        <v>1253.1599999999999</v>
      </c>
      <c r="H98" s="19">
        <f t="shared" si="25"/>
        <v>276.12</v>
      </c>
      <c r="I98" s="19">
        <f t="shared" si="26"/>
        <v>63.72</v>
      </c>
      <c r="J98" s="19">
        <f t="shared" si="27"/>
        <v>191.16</v>
      </c>
      <c r="K98" s="19">
        <f>2*230</f>
        <v>460</v>
      </c>
      <c r="L98" s="8">
        <f>144.73*8</f>
        <v>1157.84</v>
      </c>
      <c r="M98" s="8"/>
      <c r="N98" s="8"/>
      <c r="O98" s="24">
        <f t="shared" si="17"/>
        <v>243.37500000000003</v>
      </c>
      <c r="P98" s="32">
        <f t="shared" si="28"/>
        <v>5291.474999999999</v>
      </c>
      <c r="Q98" s="32"/>
      <c r="R98" s="34">
        <f t="shared" si="18"/>
        <v>3265.65</v>
      </c>
      <c r="S98" s="19"/>
      <c r="T98" s="19"/>
      <c r="U98" s="19"/>
      <c r="V98" s="19"/>
      <c r="W98" s="19"/>
      <c r="X98" s="19"/>
      <c r="Y98" s="32">
        <f t="shared" si="29"/>
        <v>0</v>
      </c>
      <c r="Z98" s="32">
        <f t="shared" si="19"/>
        <v>1369.98</v>
      </c>
      <c r="AA98" s="32"/>
      <c r="AB98" s="32">
        <f t="shared" si="32"/>
        <v>520.38</v>
      </c>
      <c r="AC98" s="34">
        <f t="shared" si="20"/>
        <v>250.2</v>
      </c>
      <c r="AD98" s="8"/>
      <c r="AE98" s="8"/>
      <c r="AF98" s="34"/>
      <c r="AG98" s="32">
        <f t="shared" si="21"/>
        <v>1253.1599999999999</v>
      </c>
      <c r="AH98" s="32"/>
      <c r="AI98" s="32">
        <f t="shared" si="30"/>
        <v>11950.845</v>
      </c>
    </row>
    <row r="99" spans="1:35" ht="15.75">
      <c r="A99" s="3" t="s">
        <v>79</v>
      </c>
      <c r="B99" s="4" t="s">
        <v>80</v>
      </c>
      <c r="C99" s="3" t="s">
        <v>2</v>
      </c>
      <c r="D99" s="29">
        <v>284.6</v>
      </c>
      <c r="E99" s="19">
        <f t="shared" si="22"/>
        <v>1229.472</v>
      </c>
      <c r="F99" s="19">
        <f t="shared" si="23"/>
        <v>4064.0880000000006</v>
      </c>
      <c r="G99" s="19">
        <f t="shared" si="24"/>
        <v>4029.9360000000006</v>
      </c>
      <c r="H99" s="19">
        <f t="shared" si="25"/>
        <v>887.9520000000001</v>
      </c>
      <c r="I99" s="19">
        <f t="shared" si="26"/>
        <v>204.912</v>
      </c>
      <c r="J99" s="19">
        <f t="shared" si="27"/>
        <v>614.736</v>
      </c>
      <c r="K99" s="19">
        <f>5*230</f>
        <v>1150</v>
      </c>
      <c r="L99" s="8"/>
      <c r="M99" s="8"/>
      <c r="N99" s="8"/>
      <c r="O99" s="24">
        <f t="shared" si="17"/>
        <v>782.6500000000001</v>
      </c>
      <c r="P99" s="32">
        <f t="shared" si="28"/>
        <v>12963.746000000001</v>
      </c>
      <c r="Q99" s="32"/>
      <c r="R99" s="34">
        <f t="shared" si="18"/>
        <v>10501.740000000002</v>
      </c>
      <c r="S99" s="19"/>
      <c r="T99" s="19"/>
      <c r="U99" s="19"/>
      <c r="V99" s="19"/>
      <c r="W99" s="19"/>
      <c r="X99" s="19"/>
      <c r="Y99" s="32">
        <f t="shared" si="29"/>
        <v>0</v>
      </c>
      <c r="Z99" s="32">
        <f t="shared" si="19"/>
        <v>4405.608</v>
      </c>
      <c r="AA99" s="32"/>
      <c r="AB99" s="32">
        <f t="shared" si="32"/>
        <v>1673.448</v>
      </c>
      <c r="AC99" s="34">
        <f t="shared" si="20"/>
        <v>799.2800000000001</v>
      </c>
      <c r="AD99" s="8"/>
      <c r="AE99" s="8"/>
      <c r="AF99" s="34"/>
      <c r="AG99" s="32">
        <f t="shared" si="21"/>
        <v>4029.9360000000006</v>
      </c>
      <c r="AH99" s="32"/>
      <c r="AI99" s="32">
        <f t="shared" si="30"/>
        <v>34373.758</v>
      </c>
    </row>
    <row r="100" spans="1:35" ht="15.75">
      <c r="A100" s="3" t="s">
        <v>79</v>
      </c>
      <c r="B100" s="4" t="s">
        <v>81</v>
      </c>
      <c r="C100" s="3" t="s">
        <v>2</v>
      </c>
      <c r="D100" s="29">
        <v>117.9</v>
      </c>
      <c r="E100" s="19">
        <f t="shared" si="22"/>
        <v>509.32800000000003</v>
      </c>
      <c r="F100" s="19">
        <f t="shared" si="23"/>
        <v>1683.6119999999999</v>
      </c>
      <c r="G100" s="19">
        <f t="shared" si="24"/>
        <v>1669.464</v>
      </c>
      <c r="H100" s="19">
        <f t="shared" si="25"/>
        <v>367.84800000000007</v>
      </c>
      <c r="I100" s="19">
        <f t="shared" si="26"/>
        <v>84.888</v>
      </c>
      <c r="J100" s="19">
        <f t="shared" si="27"/>
        <v>254.66400000000002</v>
      </c>
      <c r="K100" s="19">
        <f>3*230</f>
        <v>690</v>
      </c>
      <c r="L100" s="8"/>
      <c r="M100" s="8"/>
      <c r="N100" s="8"/>
      <c r="O100" s="24">
        <f t="shared" si="17"/>
        <v>324.2250000000001</v>
      </c>
      <c r="P100" s="32">
        <f t="shared" si="28"/>
        <v>5584.029</v>
      </c>
      <c r="Q100" s="32"/>
      <c r="R100" s="34">
        <f t="shared" si="18"/>
        <v>4350.51</v>
      </c>
      <c r="S100" s="19"/>
      <c r="T100" s="19"/>
      <c r="U100" s="19"/>
      <c r="V100" s="19"/>
      <c r="W100" s="19"/>
      <c r="X100" s="19"/>
      <c r="Y100" s="32">
        <f t="shared" si="29"/>
        <v>0</v>
      </c>
      <c r="Z100" s="32">
        <f t="shared" si="19"/>
        <v>1825.092</v>
      </c>
      <c r="AA100" s="32"/>
      <c r="AB100" s="32">
        <f t="shared" si="32"/>
        <v>693.252</v>
      </c>
      <c r="AC100" s="34">
        <f t="shared" si="20"/>
        <v>332.52</v>
      </c>
      <c r="AD100" s="8"/>
      <c r="AE100" s="8"/>
      <c r="AF100" s="34"/>
      <c r="AG100" s="32">
        <f t="shared" si="21"/>
        <v>1669.464</v>
      </c>
      <c r="AH100" s="32"/>
      <c r="AI100" s="32">
        <f t="shared" si="30"/>
        <v>14454.867000000002</v>
      </c>
    </row>
    <row r="101" spans="1:35" ht="15.75">
      <c r="A101" s="5" t="s">
        <v>79</v>
      </c>
      <c r="B101" s="5" t="s">
        <v>16</v>
      </c>
      <c r="C101" s="6"/>
      <c r="D101" s="29">
        <v>205.3</v>
      </c>
      <c r="E101" s="19">
        <f t="shared" si="22"/>
        <v>886.896</v>
      </c>
      <c r="F101" s="19">
        <f t="shared" si="23"/>
        <v>2931.684</v>
      </c>
      <c r="G101" s="19">
        <f t="shared" si="24"/>
        <v>2907.048</v>
      </c>
      <c r="H101" s="19">
        <f t="shared" si="25"/>
        <v>640.5360000000001</v>
      </c>
      <c r="I101" s="19">
        <f t="shared" si="26"/>
        <v>147.816</v>
      </c>
      <c r="J101" s="19">
        <f t="shared" si="27"/>
        <v>443.448</v>
      </c>
      <c r="K101" s="19">
        <f>2*230</f>
        <v>460</v>
      </c>
      <c r="L101" s="8"/>
      <c r="M101" s="8"/>
      <c r="N101" s="8"/>
      <c r="O101" s="24">
        <f t="shared" si="17"/>
        <v>564.575</v>
      </c>
      <c r="P101" s="32">
        <f t="shared" si="28"/>
        <v>8982.003</v>
      </c>
      <c r="Q101" s="32"/>
      <c r="R101" s="34">
        <f t="shared" si="18"/>
        <v>7575.5700000000015</v>
      </c>
      <c r="S101" s="19"/>
      <c r="T101" s="19"/>
      <c r="U101" s="19"/>
      <c r="V101" s="19"/>
      <c r="W101" s="19"/>
      <c r="X101" s="19"/>
      <c r="Y101" s="32">
        <f t="shared" si="29"/>
        <v>0</v>
      </c>
      <c r="Z101" s="32">
        <f t="shared" si="19"/>
        <v>3178.044000000001</v>
      </c>
      <c r="AA101" s="32"/>
      <c r="AB101" s="32">
        <f t="shared" si="32"/>
        <v>1207.1640000000002</v>
      </c>
      <c r="AC101" s="34">
        <f t="shared" si="20"/>
        <v>577.24</v>
      </c>
      <c r="AD101" s="8"/>
      <c r="AE101" s="8"/>
      <c r="AF101" s="34"/>
      <c r="AG101" s="32">
        <f t="shared" si="21"/>
        <v>2907.048</v>
      </c>
      <c r="AH101" s="32"/>
      <c r="AI101" s="32">
        <f t="shared" si="30"/>
        <v>24427.069000000007</v>
      </c>
    </row>
    <row r="102" spans="1:35" ht="15.75">
      <c r="A102" s="3" t="s">
        <v>82</v>
      </c>
      <c r="B102" s="4" t="s">
        <v>34</v>
      </c>
      <c r="C102" s="3" t="s">
        <v>2</v>
      </c>
      <c r="D102" s="26">
        <v>813.6</v>
      </c>
      <c r="E102" s="19">
        <f t="shared" si="22"/>
        <v>3514.7520000000004</v>
      </c>
      <c r="F102" s="19">
        <f t="shared" si="23"/>
        <v>11618.207999999999</v>
      </c>
      <c r="G102" s="19">
        <f t="shared" si="24"/>
        <v>11520.576000000001</v>
      </c>
      <c r="H102" s="19">
        <f t="shared" si="25"/>
        <v>2538.432</v>
      </c>
      <c r="I102" s="19">
        <f t="shared" si="26"/>
        <v>585.792</v>
      </c>
      <c r="J102" s="19">
        <f t="shared" si="27"/>
        <v>1757.3760000000002</v>
      </c>
      <c r="K102" s="19">
        <f>11*8*4+11*6*2</f>
        <v>484</v>
      </c>
      <c r="L102" s="8">
        <f>144.73*18</f>
        <v>2605.14</v>
      </c>
      <c r="M102" s="8"/>
      <c r="N102" s="8">
        <f>16*20.77</f>
        <v>332.32</v>
      </c>
      <c r="O102" s="24">
        <f t="shared" si="17"/>
        <v>2237.4000000000005</v>
      </c>
      <c r="P102" s="32">
        <f t="shared" si="28"/>
        <v>37193.99600000001</v>
      </c>
      <c r="Q102" s="32"/>
      <c r="R102" s="34">
        <f t="shared" si="18"/>
        <v>30021.840000000004</v>
      </c>
      <c r="S102" s="19"/>
      <c r="T102" s="19"/>
      <c r="U102" s="19">
        <v>13902</v>
      </c>
      <c r="V102" s="19">
        <f>142*150</f>
        <v>21300</v>
      </c>
      <c r="W102" s="19"/>
      <c r="X102" s="19"/>
      <c r="Y102" s="32">
        <f t="shared" si="29"/>
        <v>35202</v>
      </c>
      <c r="Z102" s="32">
        <f t="shared" si="19"/>
        <v>12594.528000000002</v>
      </c>
      <c r="AA102" s="32"/>
      <c r="AB102" s="32">
        <f t="shared" si="32"/>
        <v>4783.968</v>
      </c>
      <c r="AC102" s="34">
        <f t="shared" si="20"/>
        <v>2280.4800000000005</v>
      </c>
      <c r="AD102" s="8"/>
      <c r="AE102" s="8"/>
      <c r="AF102" s="34"/>
      <c r="AG102" s="32">
        <f t="shared" si="21"/>
        <v>11520.576000000001</v>
      </c>
      <c r="AH102" s="32">
        <v>57500</v>
      </c>
      <c r="AI102" s="32">
        <f t="shared" si="30"/>
        <v>191097.388</v>
      </c>
    </row>
    <row r="103" spans="1:35" ht="15.75">
      <c r="A103" s="3" t="s">
        <v>82</v>
      </c>
      <c r="B103" s="4" t="s">
        <v>70</v>
      </c>
      <c r="C103" s="3" t="s">
        <v>2</v>
      </c>
      <c r="D103" s="26">
        <v>671</v>
      </c>
      <c r="E103" s="19">
        <f t="shared" si="22"/>
        <v>2898.7200000000003</v>
      </c>
      <c r="F103" s="19">
        <f t="shared" si="23"/>
        <v>9581.880000000001</v>
      </c>
      <c r="G103" s="19">
        <f t="shared" si="24"/>
        <v>9501.36</v>
      </c>
      <c r="H103" s="19">
        <f t="shared" si="25"/>
        <v>2093.52</v>
      </c>
      <c r="I103" s="19">
        <f t="shared" si="26"/>
        <v>483.12</v>
      </c>
      <c r="J103" s="19">
        <f t="shared" si="27"/>
        <v>1449.3600000000001</v>
      </c>
      <c r="K103" s="19">
        <f>12*8*4+12*6*2</f>
        <v>528</v>
      </c>
      <c r="L103" s="8">
        <f>144.73*18</f>
        <v>2605.14</v>
      </c>
      <c r="M103" s="8"/>
      <c r="N103" s="8"/>
      <c r="O103" s="24">
        <f t="shared" si="17"/>
        <v>1845.25</v>
      </c>
      <c r="P103" s="32">
        <f t="shared" si="28"/>
        <v>30986.350000000002</v>
      </c>
      <c r="Q103" s="32"/>
      <c r="R103" s="34">
        <f t="shared" si="18"/>
        <v>24759.9</v>
      </c>
      <c r="S103" s="19"/>
      <c r="T103" s="19"/>
      <c r="U103" s="19">
        <v>78948</v>
      </c>
      <c r="V103" s="19">
        <f>110*150</f>
        <v>16500</v>
      </c>
      <c r="W103" s="19"/>
      <c r="X103" s="19"/>
      <c r="Y103" s="32">
        <f t="shared" si="29"/>
        <v>95448</v>
      </c>
      <c r="Z103" s="32">
        <f t="shared" si="19"/>
        <v>10387.08</v>
      </c>
      <c r="AA103" s="32"/>
      <c r="AB103" s="32">
        <f t="shared" si="32"/>
        <v>3945.4800000000005</v>
      </c>
      <c r="AC103" s="34">
        <f t="shared" si="20"/>
        <v>1881.2000000000003</v>
      </c>
      <c r="AD103" s="8"/>
      <c r="AE103" s="8"/>
      <c r="AF103" s="34"/>
      <c r="AG103" s="32">
        <f t="shared" si="21"/>
        <v>9501.36</v>
      </c>
      <c r="AH103" s="32">
        <v>57500</v>
      </c>
      <c r="AI103" s="32">
        <f t="shared" si="30"/>
        <v>234409.37</v>
      </c>
    </row>
    <row r="104" spans="1:35" ht="15.75">
      <c r="A104" s="3" t="s">
        <v>82</v>
      </c>
      <c r="B104" s="4" t="s">
        <v>35</v>
      </c>
      <c r="C104" s="3" t="s">
        <v>2</v>
      </c>
      <c r="D104" s="26">
        <v>4824</v>
      </c>
      <c r="E104" s="19">
        <f t="shared" si="22"/>
        <v>20839.68</v>
      </c>
      <c r="F104" s="19">
        <f t="shared" si="23"/>
        <v>68886.72</v>
      </c>
      <c r="G104" s="19">
        <f t="shared" si="24"/>
        <v>68307.84</v>
      </c>
      <c r="H104" s="19">
        <f t="shared" si="25"/>
        <v>15050.880000000001</v>
      </c>
      <c r="I104" s="19">
        <f t="shared" si="26"/>
        <v>3473.2799999999997</v>
      </c>
      <c r="J104" s="19">
        <f t="shared" si="27"/>
        <v>10419.84</v>
      </c>
      <c r="K104" s="19">
        <f>105*8*4+105*6*2</f>
        <v>4620</v>
      </c>
      <c r="L104" s="8">
        <f>144.73*3</f>
        <v>434.18999999999994</v>
      </c>
      <c r="M104" s="8"/>
      <c r="N104" s="8"/>
      <c r="O104" s="24">
        <f t="shared" si="17"/>
        <v>13266.000000000002</v>
      </c>
      <c r="P104" s="32">
        <f t="shared" si="28"/>
        <v>205298.43</v>
      </c>
      <c r="Q104" s="32">
        <f>D104*1.27*5+D104*1.34*7</f>
        <v>75881.52</v>
      </c>
      <c r="R104" s="34">
        <f t="shared" si="18"/>
        <v>178005.6</v>
      </c>
      <c r="S104" s="8"/>
      <c r="T104" s="8"/>
      <c r="U104" s="8"/>
      <c r="V104" s="19"/>
      <c r="W104" s="19"/>
      <c r="X104" s="19"/>
      <c r="Y104" s="32">
        <f t="shared" si="29"/>
        <v>0</v>
      </c>
      <c r="Z104" s="32">
        <f t="shared" si="19"/>
        <v>74675.52</v>
      </c>
      <c r="AA104" s="32"/>
      <c r="AB104" s="32">
        <f t="shared" si="32"/>
        <v>28365.119999999995</v>
      </c>
      <c r="AC104" s="34">
        <f t="shared" si="20"/>
        <v>13509.6</v>
      </c>
      <c r="AD104" s="8"/>
      <c r="AE104" s="8"/>
      <c r="AF104" s="34"/>
      <c r="AG104" s="32">
        <f t="shared" si="21"/>
        <v>68307.84</v>
      </c>
      <c r="AH104" s="32">
        <v>230000</v>
      </c>
      <c r="AI104" s="32">
        <f t="shared" si="30"/>
        <v>874043.63</v>
      </c>
    </row>
    <row r="105" spans="1:35" ht="15.75">
      <c r="A105" s="3" t="s">
        <v>82</v>
      </c>
      <c r="B105" s="4" t="s">
        <v>6</v>
      </c>
      <c r="C105" s="3" t="s">
        <v>2</v>
      </c>
      <c r="D105" s="26">
        <v>844.1</v>
      </c>
      <c r="E105" s="19">
        <f t="shared" si="22"/>
        <v>3646.5119999999997</v>
      </c>
      <c r="F105" s="19">
        <f t="shared" si="23"/>
        <v>12053.748</v>
      </c>
      <c r="G105" s="19">
        <f t="shared" si="24"/>
        <v>11952.456</v>
      </c>
      <c r="H105" s="19">
        <f t="shared" si="25"/>
        <v>2633.592</v>
      </c>
      <c r="I105" s="19">
        <f t="shared" si="26"/>
        <v>607.752</v>
      </c>
      <c r="J105" s="19">
        <f t="shared" si="27"/>
        <v>1823.2559999999999</v>
      </c>
      <c r="K105" s="19">
        <f>16*8*4+16*6*2</f>
        <v>704</v>
      </c>
      <c r="L105" s="8">
        <f>144.73*20</f>
        <v>2894.6</v>
      </c>
      <c r="M105" s="8"/>
      <c r="N105" s="8"/>
      <c r="O105" s="24">
        <f t="shared" si="17"/>
        <v>2321.275</v>
      </c>
      <c r="P105" s="32">
        <f t="shared" si="28"/>
        <v>38637.191000000006</v>
      </c>
      <c r="Q105" s="32"/>
      <c r="R105" s="34">
        <f t="shared" si="18"/>
        <v>31147.290000000005</v>
      </c>
      <c r="S105" s="19">
        <v>91000</v>
      </c>
      <c r="T105" s="19"/>
      <c r="U105" s="19"/>
      <c r="V105" s="19">
        <f>180*150</f>
        <v>27000</v>
      </c>
      <c r="W105" s="19"/>
      <c r="X105" s="19"/>
      <c r="Y105" s="32">
        <f t="shared" si="29"/>
        <v>118000</v>
      </c>
      <c r="Z105" s="32">
        <f t="shared" si="19"/>
        <v>13066.668000000001</v>
      </c>
      <c r="AA105" s="32"/>
      <c r="AB105" s="32">
        <f t="shared" si="32"/>
        <v>4963.308</v>
      </c>
      <c r="AC105" s="34">
        <f t="shared" si="20"/>
        <v>2365.8800000000006</v>
      </c>
      <c r="AD105" s="8"/>
      <c r="AE105" s="8"/>
      <c r="AF105" s="34"/>
      <c r="AG105" s="32">
        <f t="shared" si="21"/>
        <v>11952.456</v>
      </c>
      <c r="AH105" s="32">
        <v>57500</v>
      </c>
      <c r="AI105" s="32">
        <f t="shared" si="30"/>
        <v>277632.79300000006</v>
      </c>
    </row>
    <row r="106" spans="1:35" ht="15.75">
      <c r="A106" s="3" t="s">
        <v>83</v>
      </c>
      <c r="B106" s="4" t="s">
        <v>69</v>
      </c>
      <c r="C106" s="3" t="s">
        <v>2</v>
      </c>
      <c r="D106" s="26">
        <v>972.6</v>
      </c>
      <c r="E106" s="19">
        <f t="shared" si="22"/>
        <v>4201.632</v>
      </c>
      <c r="F106" s="19">
        <f t="shared" si="23"/>
        <v>13888.728</v>
      </c>
      <c r="G106" s="19">
        <f t="shared" si="24"/>
        <v>13772.016</v>
      </c>
      <c r="H106" s="19">
        <f t="shared" si="25"/>
        <v>3034.512</v>
      </c>
      <c r="I106" s="19">
        <f t="shared" si="26"/>
        <v>700.272</v>
      </c>
      <c r="J106" s="19">
        <f t="shared" si="27"/>
        <v>2100.816</v>
      </c>
      <c r="K106" s="19">
        <f>24*8*4+24*6*2</f>
        <v>1056</v>
      </c>
      <c r="L106" s="8">
        <f>144.73*30</f>
        <v>4341.9</v>
      </c>
      <c r="M106" s="8"/>
      <c r="N106" s="8"/>
      <c r="O106" s="24">
        <f t="shared" si="17"/>
        <v>2674.6500000000005</v>
      </c>
      <c r="P106" s="32">
        <f t="shared" si="28"/>
        <v>45770.526</v>
      </c>
      <c r="Q106" s="32"/>
      <c r="R106" s="34">
        <f t="shared" si="18"/>
        <v>35888.94</v>
      </c>
      <c r="S106" s="19"/>
      <c r="T106" s="19"/>
      <c r="U106" s="19"/>
      <c r="V106" s="19"/>
      <c r="W106" s="19">
        <f>6*220</f>
        <v>1320</v>
      </c>
      <c r="X106" s="19"/>
      <c r="Y106" s="32">
        <f t="shared" si="29"/>
        <v>1320</v>
      </c>
      <c r="Z106" s="32">
        <f t="shared" si="19"/>
        <v>15055.848</v>
      </c>
      <c r="AA106" s="32"/>
      <c r="AB106" s="32">
        <f t="shared" si="32"/>
        <v>5718.888</v>
      </c>
      <c r="AC106" s="34">
        <f t="shared" si="20"/>
        <v>2725.6800000000003</v>
      </c>
      <c r="AD106" s="8"/>
      <c r="AE106" s="8"/>
      <c r="AF106" s="34"/>
      <c r="AG106" s="32">
        <f t="shared" si="21"/>
        <v>13772.016</v>
      </c>
      <c r="AH106" s="32">
        <v>57500</v>
      </c>
      <c r="AI106" s="32">
        <f t="shared" si="30"/>
        <v>177751.89800000002</v>
      </c>
    </row>
    <row r="107" spans="1:35" ht="15.75">
      <c r="A107" s="3" t="s">
        <v>83</v>
      </c>
      <c r="B107" s="4" t="s">
        <v>34</v>
      </c>
      <c r="C107" s="3" t="s">
        <v>2</v>
      </c>
      <c r="D107" s="26">
        <v>270.7</v>
      </c>
      <c r="E107" s="19">
        <f t="shared" si="22"/>
        <v>1169.424</v>
      </c>
      <c r="F107" s="19">
        <f t="shared" si="23"/>
        <v>3865.5959999999995</v>
      </c>
      <c r="G107" s="19">
        <f t="shared" si="24"/>
        <v>3833.112</v>
      </c>
      <c r="H107" s="19">
        <f t="shared" si="25"/>
        <v>844.5840000000001</v>
      </c>
      <c r="I107" s="19">
        <f t="shared" si="26"/>
        <v>194.90399999999997</v>
      </c>
      <c r="J107" s="19">
        <f t="shared" si="27"/>
        <v>584.712</v>
      </c>
      <c r="K107" s="19">
        <f>4*6*2</f>
        <v>48</v>
      </c>
      <c r="L107" s="8">
        <f>144.73*8</f>
        <v>1157.84</v>
      </c>
      <c r="M107" s="8"/>
      <c r="N107" s="8"/>
      <c r="O107" s="24">
        <f t="shared" si="17"/>
        <v>744.4250000000001</v>
      </c>
      <c r="P107" s="32">
        <f t="shared" si="28"/>
        <v>12442.597</v>
      </c>
      <c r="Q107" s="32"/>
      <c r="R107" s="34">
        <f t="shared" si="18"/>
        <v>9988.829999999998</v>
      </c>
      <c r="S107" s="19"/>
      <c r="T107" s="19"/>
      <c r="U107" s="19"/>
      <c r="V107" s="19"/>
      <c r="W107" s="19"/>
      <c r="X107" s="19"/>
      <c r="Y107" s="32">
        <f t="shared" si="29"/>
        <v>0</v>
      </c>
      <c r="Z107" s="32">
        <f t="shared" si="19"/>
        <v>4190.436</v>
      </c>
      <c r="AA107" s="32"/>
      <c r="AB107" s="32">
        <f t="shared" si="32"/>
        <v>1591.716</v>
      </c>
      <c r="AC107" s="34">
        <f t="shared" si="20"/>
        <v>760.36</v>
      </c>
      <c r="AD107" s="8"/>
      <c r="AE107" s="8"/>
      <c r="AF107" s="34"/>
      <c r="AG107" s="32">
        <f t="shared" si="21"/>
        <v>3833.112</v>
      </c>
      <c r="AH107" s="32"/>
      <c r="AI107" s="32">
        <f t="shared" si="30"/>
        <v>32807.051</v>
      </c>
    </row>
    <row r="108" spans="1:35" ht="15.75">
      <c r="A108" s="3" t="s">
        <v>83</v>
      </c>
      <c r="B108" s="4" t="s">
        <v>70</v>
      </c>
      <c r="C108" s="3" t="s">
        <v>2</v>
      </c>
      <c r="D108" s="26">
        <v>424.8</v>
      </c>
      <c r="E108" s="19">
        <f t="shared" si="22"/>
        <v>1835.136</v>
      </c>
      <c r="F108" s="19">
        <f t="shared" si="23"/>
        <v>6066.144</v>
      </c>
      <c r="G108" s="19">
        <f t="shared" si="24"/>
        <v>6015.168</v>
      </c>
      <c r="H108" s="19">
        <f t="shared" si="25"/>
        <v>1325.3760000000002</v>
      </c>
      <c r="I108" s="19">
        <f t="shared" si="26"/>
        <v>305.856</v>
      </c>
      <c r="J108" s="19">
        <f t="shared" si="27"/>
        <v>917.568</v>
      </c>
      <c r="K108" s="19">
        <f>8*6*2</f>
        <v>96</v>
      </c>
      <c r="L108" s="8">
        <f>144.73*12</f>
        <v>1736.7599999999998</v>
      </c>
      <c r="M108" s="8"/>
      <c r="N108" s="8"/>
      <c r="O108" s="24">
        <f t="shared" si="17"/>
        <v>1168.2</v>
      </c>
      <c r="P108" s="32">
        <f t="shared" si="28"/>
        <v>19466.208</v>
      </c>
      <c r="Q108" s="32"/>
      <c r="R108" s="34">
        <f t="shared" si="18"/>
        <v>15675.12</v>
      </c>
      <c r="S108" s="19"/>
      <c r="T108" s="19"/>
      <c r="U108" s="19"/>
      <c r="V108" s="19"/>
      <c r="W108" s="19"/>
      <c r="X108" s="19">
        <v>5000</v>
      </c>
      <c r="Y108" s="32">
        <f t="shared" si="29"/>
        <v>5000</v>
      </c>
      <c r="Z108" s="32">
        <f t="shared" si="19"/>
        <v>6575.904</v>
      </c>
      <c r="AA108" s="32"/>
      <c r="AB108" s="32">
        <f t="shared" si="32"/>
        <v>2497.824</v>
      </c>
      <c r="AC108" s="34">
        <f t="shared" si="20"/>
        <v>1191.8400000000001</v>
      </c>
      <c r="AD108" s="8"/>
      <c r="AE108" s="8"/>
      <c r="AF108" s="34"/>
      <c r="AG108" s="32">
        <f t="shared" si="21"/>
        <v>6015.168</v>
      </c>
      <c r="AH108" s="32"/>
      <c r="AI108" s="32">
        <f t="shared" si="30"/>
        <v>56422.064000000006</v>
      </c>
    </row>
    <row r="109" spans="1:35" ht="15.75">
      <c r="A109" s="3" t="s">
        <v>83</v>
      </c>
      <c r="B109" s="4" t="s">
        <v>9</v>
      </c>
      <c r="C109" s="3" t="s">
        <v>2</v>
      </c>
      <c r="D109" s="26">
        <v>3200.3</v>
      </c>
      <c r="E109" s="19">
        <f t="shared" si="22"/>
        <v>13825.295999999998</v>
      </c>
      <c r="F109" s="19">
        <f t="shared" si="23"/>
        <v>45700.284</v>
      </c>
      <c r="G109" s="19">
        <f t="shared" si="24"/>
        <v>45316.248</v>
      </c>
      <c r="H109" s="19">
        <f t="shared" si="25"/>
        <v>9984.936000000002</v>
      </c>
      <c r="I109" s="19">
        <f t="shared" si="26"/>
        <v>2304.216</v>
      </c>
      <c r="J109" s="19">
        <f t="shared" si="27"/>
        <v>6912.647999999999</v>
      </c>
      <c r="K109" s="19">
        <f>80*6*2</f>
        <v>960</v>
      </c>
      <c r="L109" s="8">
        <f>144.73*2</f>
        <v>289.46</v>
      </c>
      <c r="M109" s="8"/>
      <c r="N109" s="8"/>
      <c r="O109" s="24">
        <f t="shared" si="17"/>
        <v>8800.825</v>
      </c>
      <c r="P109" s="32">
        <f t="shared" si="28"/>
        <v>134093.91300000003</v>
      </c>
      <c r="Q109" s="32">
        <f aca="true" t="shared" si="33" ref="Q109:Q114">D109*1.27*5+D109*1.34*7</f>
        <v>50340.71900000001</v>
      </c>
      <c r="R109" s="34">
        <f t="shared" si="18"/>
        <v>118091.07000000002</v>
      </c>
      <c r="S109" s="19"/>
      <c r="T109" s="19"/>
      <c r="U109" s="19"/>
      <c r="V109" s="19"/>
      <c r="W109" s="19"/>
      <c r="X109" s="19">
        <v>6000</v>
      </c>
      <c r="Y109" s="32">
        <f t="shared" si="29"/>
        <v>6000</v>
      </c>
      <c r="Z109" s="32">
        <f t="shared" si="19"/>
        <v>49540.64400000001</v>
      </c>
      <c r="AA109" s="32"/>
      <c r="AB109" s="32">
        <f t="shared" si="32"/>
        <v>18817.764000000003</v>
      </c>
      <c r="AC109" s="34">
        <f t="shared" si="20"/>
        <v>8963.24</v>
      </c>
      <c r="AD109" s="8"/>
      <c r="AE109" s="8"/>
      <c r="AF109" s="34"/>
      <c r="AG109" s="32">
        <f t="shared" si="21"/>
        <v>45316.248</v>
      </c>
      <c r="AH109" s="32"/>
      <c r="AI109" s="32">
        <f t="shared" si="30"/>
        <v>431163.5980000001</v>
      </c>
    </row>
    <row r="110" spans="1:35" ht="15.75">
      <c r="A110" s="3" t="s">
        <v>83</v>
      </c>
      <c r="B110" s="4" t="s">
        <v>10</v>
      </c>
      <c r="C110" s="3" t="s">
        <v>2</v>
      </c>
      <c r="D110" s="26">
        <v>3200.3</v>
      </c>
      <c r="E110" s="19">
        <f t="shared" si="22"/>
        <v>13825.295999999998</v>
      </c>
      <c r="F110" s="19">
        <f t="shared" si="23"/>
        <v>45700.284</v>
      </c>
      <c r="G110" s="19">
        <f t="shared" si="24"/>
        <v>45316.248</v>
      </c>
      <c r="H110" s="19">
        <f t="shared" si="25"/>
        <v>9984.936000000002</v>
      </c>
      <c r="I110" s="19">
        <f t="shared" si="26"/>
        <v>2304.216</v>
      </c>
      <c r="J110" s="19">
        <f t="shared" si="27"/>
        <v>6912.647999999999</v>
      </c>
      <c r="K110" s="19">
        <f>60*6*2</f>
        <v>720</v>
      </c>
      <c r="L110" s="8">
        <f>144.73*3</f>
        <v>434.18999999999994</v>
      </c>
      <c r="M110" s="8"/>
      <c r="N110" s="8"/>
      <c r="O110" s="24">
        <f t="shared" si="17"/>
        <v>8800.825</v>
      </c>
      <c r="P110" s="32">
        <f t="shared" si="28"/>
        <v>133998.643</v>
      </c>
      <c r="Q110" s="32">
        <f t="shared" si="33"/>
        <v>50340.71900000001</v>
      </c>
      <c r="R110" s="34">
        <f t="shared" si="18"/>
        <v>118091.07000000002</v>
      </c>
      <c r="S110" s="19"/>
      <c r="T110" s="19"/>
      <c r="U110" s="19"/>
      <c r="V110" s="19"/>
      <c r="W110" s="19"/>
      <c r="X110" s="19"/>
      <c r="Y110" s="32">
        <f t="shared" si="29"/>
        <v>0</v>
      </c>
      <c r="Z110" s="32">
        <f t="shared" si="19"/>
        <v>49540.64400000001</v>
      </c>
      <c r="AA110" s="32"/>
      <c r="AB110" s="32">
        <f t="shared" si="32"/>
        <v>18817.764000000003</v>
      </c>
      <c r="AC110" s="34">
        <f t="shared" si="20"/>
        <v>8963.24</v>
      </c>
      <c r="AD110" s="8"/>
      <c r="AE110" s="8"/>
      <c r="AF110" s="34"/>
      <c r="AG110" s="32">
        <f t="shared" si="21"/>
        <v>45316.248</v>
      </c>
      <c r="AH110" s="32"/>
      <c r="AI110" s="32">
        <f t="shared" si="30"/>
        <v>425068.3280000001</v>
      </c>
    </row>
    <row r="111" spans="1:35" ht="15.75">
      <c r="A111" s="3" t="s">
        <v>83</v>
      </c>
      <c r="B111" s="4" t="s">
        <v>13</v>
      </c>
      <c r="C111" s="3" t="s">
        <v>2</v>
      </c>
      <c r="D111" s="26">
        <v>3181.3</v>
      </c>
      <c r="E111" s="19">
        <f t="shared" si="22"/>
        <v>13743.216</v>
      </c>
      <c r="F111" s="19">
        <f t="shared" si="23"/>
        <v>45428.964</v>
      </c>
      <c r="G111" s="19">
        <f t="shared" si="24"/>
        <v>45047.208</v>
      </c>
      <c r="H111" s="19">
        <f t="shared" si="25"/>
        <v>9925.656</v>
      </c>
      <c r="I111" s="19">
        <f t="shared" si="26"/>
        <v>2290.536</v>
      </c>
      <c r="J111" s="19">
        <f t="shared" si="27"/>
        <v>6871.608</v>
      </c>
      <c r="K111" s="19">
        <f>80*6*2</f>
        <v>960</v>
      </c>
      <c r="L111" s="8">
        <f>144.73*2</f>
        <v>289.46</v>
      </c>
      <c r="M111" s="8"/>
      <c r="N111" s="8"/>
      <c r="O111" s="24">
        <f t="shared" si="17"/>
        <v>8748.575</v>
      </c>
      <c r="P111" s="32">
        <f t="shared" si="28"/>
        <v>133305.22300000003</v>
      </c>
      <c r="Q111" s="32">
        <f t="shared" si="33"/>
        <v>50041.849</v>
      </c>
      <c r="R111" s="34">
        <f t="shared" si="18"/>
        <v>117389.97000000003</v>
      </c>
      <c r="S111" s="19"/>
      <c r="T111" s="19"/>
      <c r="U111" s="19"/>
      <c r="V111" s="19"/>
      <c r="W111" s="19"/>
      <c r="X111" s="19"/>
      <c r="Y111" s="32">
        <f t="shared" si="29"/>
        <v>0</v>
      </c>
      <c r="Z111" s="32">
        <f t="shared" si="19"/>
        <v>49246.524000000005</v>
      </c>
      <c r="AA111" s="32"/>
      <c r="AB111" s="32">
        <f t="shared" si="32"/>
        <v>18706.044</v>
      </c>
      <c r="AC111" s="34">
        <f t="shared" si="20"/>
        <v>8910.04</v>
      </c>
      <c r="AD111" s="8"/>
      <c r="AE111" s="8"/>
      <c r="AF111" s="34"/>
      <c r="AG111" s="32">
        <f t="shared" si="21"/>
        <v>45047.208</v>
      </c>
      <c r="AH111" s="32"/>
      <c r="AI111" s="32">
        <f t="shared" si="30"/>
        <v>422646.85800000007</v>
      </c>
    </row>
    <row r="112" spans="1:35" ht="15.75">
      <c r="A112" s="3" t="s">
        <v>83</v>
      </c>
      <c r="B112" s="4" t="s">
        <v>15</v>
      </c>
      <c r="C112" s="3" t="s">
        <v>2</v>
      </c>
      <c r="D112" s="26">
        <v>3172.8</v>
      </c>
      <c r="E112" s="19">
        <f t="shared" si="22"/>
        <v>13706.496000000001</v>
      </c>
      <c r="F112" s="19">
        <f t="shared" si="23"/>
        <v>45307.584</v>
      </c>
      <c r="G112" s="19">
        <f t="shared" si="24"/>
        <v>44926.848</v>
      </c>
      <c r="H112" s="19">
        <f t="shared" si="25"/>
        <v>9899.136000000002</v>
      </c>
      <c r="I112" s="19">
        <f t="shared" si="26"/>
        <v>2284.416</v>
      </c>
      <c r="J112" s="19">
        <f t="shared" si="27"/>
        <v>6853.2480000000005</v>
      </c>
      <c r="K112" s="19">
        <f>80*6*2</f>
        <v>960</v>
      </c>
      <c r="L112" s="8">
        <f>144.73*3</f>
        <v>434.18999999999994</v>
      </c>
      <c r="M112" s="8"/>
      <c r="N112" s="8"/>
      <c r="O112" s="24">
        <f t="shared" si="17"/>
        <v>8725.2</v>
      </c>
      <c r="P112" s="32">
        <f t="shared" si="28"/>
        <v>133097.11800000002</v>
      </c>
      <c r="Q112" s="32">
        <f t="shared" si="33"/>
        <v>49908.144</v>
      </c>
      <c r="R112" s="34">
        <f t="shared" si="18"/>
        <v>117076.32000000002</v>
      </c>
      <c r="S112" s="19"/>
      <c r="T112" s="19"/>
      <c r="U112" s="19"/>
      <c r="V112" s="19"/>
      <c r="W112" s="19"/>
      <c r="X112" s="19"/>
      <c r="Y112" s="32">
        <f t="shared" si="29"/>
        <v>0</v>
      </c>
      <c r="Z112" s="32">
        <f t="shared" si="19"/>
        <v>49114.944</v>
      </c>
      <c r="AA112" s="32"/>
      <c r="AB112" s="32">
        <f t="shared" si="32"/>
        <v>18656.064</v>
      </c>
      <c r="AC112" s="34">
        <f t="shared" si="20"/>
        <v>8886.24</v>
      </c>
      <c r="AD112" s="8"/>
      <c r="AE112" s="8"/>
      <c r="AF112" s="34"/>
      <c r="AG112" s="32">
        <f t="shared" si="21"/>
        <v>44926.848</v>
      </c>
      <c r="AH112" s="32"/>
      <c r="AI112" s="32">
        <f t="shared" si="30"/>
        <v>421665.6780000001</v>
      </c>
    </row>
    <row r="113" spans="1:35" ht="15.75">
      <c r="A113" s="3" t="s">
        <v>83</v>
      </c>
      <c r="B113" s="4" t="s">
        <v>84</v>
      </c>
      <c r="C113" s="3" t="s">
        <v>2</v>
      </c>
      <c r="D113" s="26">
        <v>3515.1</v>
      </c>
      <c r="E113" s="19">
        <f t="shared" si="22"/>
        <v>15185.232</v>
      </c>
      <c r="F113" s="19">
        <f t="shared" si="23"/>
        <v>50195.628</v>
      </c>
      <c r="G113" s="19">
        <f t="shared" si="24"/>
        <v>49773.81599999999</v>
      </c>
      <c r="H113" s="19">
        <f t="shared" si="25"/>
        <v>10967.112000000001</v>
      </c>
      <c r="I113" s="19">
        <f t="shared" si="26"/>
        <v>2530.872</v>
      </c>
      <c r="J113" s="19">
        <f t="shared" si="27"/>
        <v>7592.616</v>
      </c>
      <c r="K113" s="19">
        <f>78*6*2</f>
        <v>936</v>
      </c>
      <c r="L113" s="8">
        <f>144.73*3</f>
        <v>434.18999999999994</v>
      </c>
      <c r="M113" s="8"/>
      <c r="N113" s="8"/>
      <c r="O113" s="24">
        <f t="shared" si="17"/>
        <v>9666.525</v>
      </c>
      <c r="P113" s="32">
        <f t="shared" si="28"/>
        <v>147281.991</v>
      </c>
      <c r="Q113" s="32">
        <f t="shared" si="33"/>
        <v>55292.523</v>
      </c>
      <c r="R113" s="34">
        <f t="shared" si="18"/>
        <v>129707.18999999999</v>
      </c>
      <c r="S113" s="19"/>
      <c r="T113" s="19"/>
      <c r="U113" s="19"/>
      <c r="V113" s="19"/>
      <c r="W113" s="19"/>
      <c r="X113" s="19">
        <v>159000</v>
      </c>
      <c r="Y113" s="32">
        <f t="shared" si="29"/>
        <v>159000</v>
      </c>
      <c r="Z113" s="32">
        <f t="shared" si="19"/>
        <v>54413.74800000001</v>
      </c>
      <c r="AA113" s="32"/>
      <c r="AB113" s="32">
        <f t="shared" si="32"/>
        <v>20668.788</v>
      </c>
      <c r="AC113" s="34">
        <f t="shared" si="20"/>
        <v>9844.679999999998</v>
      </c>
      <c r="AD113" s="8"/>
      <c r="AE113" s="8"/>
      <c r="AF113" s="34"/>
      <c r="AG113" s="32">
        <f t="shared" si="21"/>
        <v>49773.81599999999</v>
      </c>
      <c r="AH113" s="32"/>
      <c r="AI113" s="32">
        <f t="shared" si="30"/>
        <v>625982.736</v>
      </c>
    </row>
    <row r="114" spans="1:35" ht="15.75">
      <c r="A114" s="3" t="s">
        <v>83</v>
      </c>
      <c r="B114" s="4" t="s">
        <v>85</v>
      </c>
      <c r="C114" s="3" t="s">
        <v>2</v>
      </c>
      <c r="D114" s="26">
        <v>3499.1</v>
      </c>
      <c r="E114" s="19">
        <f t="shared" si="22"/>
        <v>15116.112</v>
      </c>
      <c r="F114" s="19">
        <f t="shared" si="23"/>
        <v>49967.148</v>
      </c>
      <c r="G114" s="19">
        <f t="shared" si="24"/>
        <v>49547.256</v>
      </c>
      <c r="H114" s="19">
        <f t="shared" si="25"/>
        <v>10917.192</v>
      </c>
      <c r="I114" s="19">
        <f t="shared" si="26"/>
        <v>2519.352</v>
      </c>
      <c r="J114" s="19">
        <f t="shared" si="27"/>
        <v>7558.056</v>
      </c>
      <c r="K114" s="19">
        <f>78*6*2</f>
        <v>936</v>
      </c>
      <c r="L114" s="8">
        <f>144.73*2</f>
        <v>289.46</v>
      </c>
      <c r="M114" s="8"/>
      <c r="N114" s="8"/>
      <c r="O114" s="24">
        <f t="shared" si="17"/>
        <v>9622.525000000001</v>
      </c>
      <c r="P114" s="32">
        <f t="shared" si="28"/>
        <v>146473.101</v>
      </c>
      <c r="Q114" s="32">
        <f t="shared" si="33"/>
        <v>55040.84299999999</v>
      </c>
      <c r="R114" s="34">
        <f t="shared" si="18"/>
        <v>129116.79</v>
      </c>
      <c r="S114" s="19"/>
      <c r="T114" s="19"/>
      <c r="U114" s="19"/>
      <c r="V114" s="19"/>
      <c r="W114" s="19"/>
      <c r="X114" s="19">
        <v>126400</v>
      </c>
      <c r="Y114" s="32">
        <f t="shared" si="29"/>
        <v>126400</v>
      </c>
      <c r="Z114" s="32">
        <f t="shared" si="19"/>
        <v>54166.068</v>
      </c>
      <c r="AA114" s="32"/>
      <c r="AB114" s="32">
        <f t="shared" si="32"/>
        <v>20574.708</v>
      </c>
      <c r="AC114" s="34">
        <f t="shared" si="20"/>
        <v>9799.880000000001</v>
      </c>
      <c r="AD114" s="8"/>
      <c r="AE114" s="8"/>
      <c r="AF114" s="34"/>
      <c r="AG114" s="32">
        <f t="shared" si="21"/>
        <v>49547.256</v>
      </c>
      <c r="AH114" s="32"/>
      <c r="AI114" s="32">
        <f t="shared" si="30"/>
        <v>591118.6460000001</v>
      </c>
    </row>
    <row r="115" spans="1:35" ht="15.75">
      <c r="A115" s="3" t="s">
        <v>83</v>
      </c>
      <c r="B115" s="4" t="s">
        <v>44</v>
      </c>
      <c r="C115" s="3" t="s">
        <v>2</v>
      </c>
      <c r="D115" s="26">
        <v>969.2</v>
      </c>
      <c r="E115" s="19">
        <f t="shared" si="22"/>
        <v>4186.9439999999995</v>
      </c>
      <c r="F115" s="19">
        <f t="shared" si="23"/>
        <v>13840.176</v>
      </c>
      <c r="G115" s="19">
        <f t="shared" si="24"/>
        <v>13723.872</v>
      </c>
      <c r="H115" s="19">
        <f t="shared" si="25"/>
        <v>3023.9040000000005</v>
      </c>
      <c r="I115" s="19">
        <f t="shared" si="26"/>
        <v>697.8240000000001</v>
      </c>
      <c r="J115" s="19">
        <f t="shared" si="27"/>
        <v>2093.4719999999998</v>
      </c>
      <c r="K115" s="19">
        <f>24*8*4+24*6*2</f>
        <v>1056</v>
      </c>
      <c r="L115" s="8">
        <f>144.73*30</f>
        <v>4341.9</v>
      </c>
      <c r="M115" s="8"/>
      <c r="N115" s="8"/>
      <c r="O115" s="24">
        <f t="shared" si="17"/>
        <v>2665.3</v>
      </c>
      <c r="P115" s="32">
        <f t="shared" si="28"/>
        <v>45629.39200000001</v>
      </c>
      <c r="Q115" s="32"/>
      <c r="R115" s="34">
        <f t="shared" si="18"/>
        <v>35763.48000000001</v>
      </c>
      <c r="S115" s="19">
        <f>50*700</f>
        <v>35000</v>
      </c>
      <c r="T115" s="19"/>
      <c r="U115" s="19"/>
      <c r="V115" s="19">
        <f>150*150</f>
        <v>22500</v>
      </c>
      <c r="W115" s="19"/>
      <c r="X115" s="19"/>
      <c r="Y115" s="32">
        <f t="shared" si="29"/>
        <v>57500</v>
      </c>
      <c r="Z115" s="32">
        <f t="shared" si="19"/>
        <v>15003.216</v>
      </c>
      <c r="AA115" s="32"/>
      <c r="AB115" s="32">
        <f t="shared" si="32"/>
        <v>5698.896000000001</v>
      </c>
      <c r="AC115" s="34">
        <f t="shared" si="20"/>
        <v>2716.1600000000003</v>
      </c>
      <c r="AD115" s="8"/>
      <c r="AE115" s="8"/>
      <c r="AF115" s="34"/>
      <c r="AG115" s="32">
        <f t="shared" si="21"/>
        <v>13723.872</v>
      </c>
      <c r="AH115" s="32">
        <v>57500</v>
      </c>
      <c r="AI115" s="32">
        <f t="shared" si="30"/>
        <v>233535.01600000006</v>
      </c>
    </row>
    <row r="116" spans="1:35" ht="15.75">
      <c r="A116" s="3" t="s">
        <v>83</v>
      </c>
      <c r="B116" s="4" t="s">
        <v>67</v>
      </c>
      <c r="C116" s="3" t="s">
        <v>2</v>
      </c>
      <c r="D116" s="26">
        <v>2045.3</v>
      </c>
      <c r="E116" s="19">
        <f t="shared" si="22"/>
        <v>8835.696</v>
      </c>
      <c r="F116" s="19">
        <f t="shared" si="23"/>
        <v>29206.884</v>
      </c>
      <c r="G116" s="19">
        <f t="shared" si="24"/>
        <v>28961.447999999997</v>
      </c>
      <c r="H116" s="19">
        <f t="shared" si="25"/>
        <v>6381.336</v>
      </c>
      <c r="I116" s="19">
        <f t="shared" si="26"/>
        <v>1472.616</v>
      </c>
      <c r="J116" s="19">
        <f t="shared" si="27"/>
        <v>4417.848</v>
      </c>
      <c r="K116" s="19">
        <f>48*8*4+48*6*2</f>
        <v>2112</v>
      </c>
      <c r="L116" s="8">
        <f>144.73*3</f>
        <v>434.18999999999994</v>
      </c>
      <c r="M116" s="8"/>
      <c r="N116" s="8"/>
      <c r="O116" s="24">
        <f t="shared" si="17"/>
        <v>5624.575</v>
      </c>
      <c r="P116" s="32">
        <f t="shared" si="28"/>
        <v>87446.59299999998</v>
      </c>
      <c r="Q116" s="32">
        <f aca="true" t="shared" si="34" ref="Q116:Q129">D116*1.27*5+D116*1.34*7</f>
        <v>32172.569</v>
      </c>
      <c r="R116" s="34">
        <f t="shared" si="18"/>
        <v>75471.56999999999</v>
      </c>
      <c r="S116" s="19"/>
      <c r="T116" s="19"/>
      <c r="U116" s="19"/>
      <c r="V116" s="19"/>
      <c r="W116" s="19">
        <f>6*220</f>
        <v>1320</v>
      </c>
      <c r="X116" s="19"/>
      <c r="Y116" s="32">
        <f t="shared" si="29"/>
        <v>1320</v>
      </c>
      <c r="Z116" s="32">
        <f t="shared" si="19"/>
        <v>31661.244</v>
      </c>
      <c r="AA116" s="32"/>
      <c r="AB116" s="32">
        <f t="shared" si="32"/>
        <v>12026.364</v>
      </c>
      <c r="AC116" s="34">
        <f t="shared" si="20"/>
        <v>5729.24</v>
      </c>
      <c r="AD116" s="8"/>
      <c r="AE116" s="8"/>
      <c r="AF116" s="34"/>
      <c r="AG116" s="32">
        <f t="shared" si="21"/>
        <v>28961.447999999997</v>
      </c>
      <c r="AH116" s="32">
        <v>57500</v>
      </c>
      <c r="AI116" s="32">
        <f t="shared" si="30"/>
        <v>332289.02799999993</v>
      </c>
    </row>
    <row r="117" spans="1:35" ht="15.75">
      <c r="A117" s="3" t="s">
        <v>86</v>
      </c>
      <c r="B117" s="4" t="s">
        <v>1</v>
      </c>
      <c r="C117" s="3" t="s">
        <v>2</v>
      </c>
      <c r="D117" s="26">
        <v>2888.6</v>
      </c>
      <c r="E117" s="19">
        <f t="shared" si="22"/>
        <v>12478.752</v>
      </c>
      <c r="F117" s="19">
        <f t="shared" si="23"/>
        <v>41249.208</v>
      </c>
      <c r="G117" s="19">
        <f t="shared" si="24"/>
        <v>40902.576</v>
      </c>
      <c r="H117" s="19">
        <f t="shared" si="25"/>
        <v>9012.432</v>
      </c>
      <c r="I117" s="19">
        <f t="shared" si="26"/>
        <v>2079.7919999999995</v>
      </c>
      <c r="J117" s="19">
        <f t="shared" si="27"/>
        <v>6239.376</v>
      </c>
      <c r="K117" s="19">
        <f>32*8*4+32*6*2</f>
        <v>1408</v>
      </c>
      <c r="L117" s="8">
        <f>144.73*3</f>
        <v>434.18999999999994</v>
      </c>
      <c r="M117" s="8"/>
      <c r="N117" s="8"/>
      <c r="O117" s="24">
        <f t="shared" si="17"/>
        <v>7943.65</v>
      </c>
      <c r="P117" s="32">
        <f t="shared" si="28"/>
        <v>121747.976</v>
      </c>
      <c r="Q117" s="32">
        <f t="shared" si="34"/>
        <v>45437.678</v>
      </c>
      <c r="R117" s="34">
        <f t="shared" si="18"/>
        <v>106589.34</v>
      </c>
      <c r="S117" s="19">
        <f>35*700</f>
        <v>24500</v>
      </c>
      <c r="T117" s="19"/>
      <c r="U117" s="19"/>
      <c r="V117" s="19">
        <f>257*150</f>
        <v>38550</v>
      </c>
      <c r="W117" s="19"/>
      <c r="X117" s="19"/>
      <c r="Y117" s="32">
        <f t="shared" si="29"/>
        <v>63050</v>
      </c>
      <c r="Z117" s="32">
        <f t="shared" si="19"/>
        <v>44715.528</v>
      </c>
      <c r="AA117" s="32"/>
      <c r="AB117" s="32">
        <f t="shared" si="32"/>
        <v>16984.968</v>
      </c>
      <c r="AC117" s="34">
        <f t="shared" si="20"/>
        <v>8090.48</v>
      </c>
      <c r="AD117" s="8"/>
      <c r="AE117" s="8"/>
      <c r="AF117" s="34"/>
      <c r="AG117" s="32">
        <f t="shared" si="21"/>
        <v>40902.576</v>
      </c>
      <c r="AH117" s="32"/>
      <c r="AI117" s="32">
        <f t="shared" si="30"/>
        <v>447518.5459999999</v>
      </c>
    </row>
    <row r="118" spans="1:35" ht="15.75">
      <c r="A118" s="3" t="s">
        <v>86</v>
      </c>
      <c r="B118" s="4" t="s">
        <v>87</v>
      </c>
      <c r="C118" s="3" t="s">
        <v>2</v>
      </c>
      <c r="D118" s="26">
        <v>2559.6</v>
      </c>
      <c r="E118" s="19">
        <f t="shared" si="22"/>
        <v>11057.471999999998</v>
      </c>
      <c r="F118" s="19">
        <f t="shared" si="23"/>
        <v>36551.088</v>
      </c>
      <c r="G118" s="19">
        <f t="shared" si="24"/>
        <v>36243.935999999994</v>
      </c>
      <c r="H118" s="19">
        <f t="shared" si="25"/>
        <v>7985.951999999999</v>
      </c>
      <c r="I118" s="19">
        <f t="shared" si="26"/>
        <v>1842.9119999999998</v>
      </c>
      <c r="J118" s="19">
        <f t="shared" si="27"/>
        <v>5528.735999999999</v>
      </c>
      <c r="K118" s="19">
        <f>60*8+60*6*2</f>
        <v>1200</v>
      </c>
      <c r="L118" s="8">
        <f>144.73*3</f>
        <v>434.18999999999994</v>
      </c>
      <c r="M118" s="8"/>
      <c r="N118" s="8"/>
      <c r="O118" s="24">
        <f t="shared" si="17"/>
        <v>7038.9</v>
      </c>
      <c r="P118" s="32">
        <f t="shared" si="28"/>
        <v>107883.18599999999</v>
      </c>
      <c r="Q118" s="32">
        <f t="shared" si="34"/>
        <v>40262.508</v>
      </c>
      <c r="R118" s="34">
        <f t="shared" si="18"/>
        <v>94449.23999999999</v>
      </c>
      <c r="S118" s="19"/>
      <c r="T118" s="19"/>
      <c r="U118" s="19"/>
      <c r="V118" s="19"/>
      <c r="W118" s="19"/>
      <c r="X118" s="19"/>
      <c r="Y118" s="32">
        <f t="shared" si="29"/>
        <v>0</v>
      </c>
      <c r="Z118" s="32">
        <f t="shared" si="19"/>
        <v>39622.608</v>
      </c>
      <c r="AA118" s="32"/>
      <c r="AB118" s="32">
        <f t="shared" si="32"/>
        <v>15050.448</v>
      </c>
      <c r="AC118" s="34">
        <f t="shared" si="20"/>
        <v>7169.28</v>
      </c>
      <c r="AD118" s="8"/>
      <c r="AE118" s="8"/>
      <c r="AF118" s="34"/>
      <c r="AG118" s="32">
        <f t="shared" si="21"/>
        <v>36243.935999999994</v>
      </c>
      <c r="AH118" s="32"/>
      <c r="AI118" s="32">
        <f t="shared" si="30"/>
        <v>340681.20599999995</v>
      </c>
    </row>
    <row r="119" spans="1:35" ht="15.75">
      <c r="A119" s="3" t="s">
        <v>86</v>
      </c>
      <c r="B119" s="4" t="s">
        <v>88</v>
      </c>
      <c r="C119" s="3" t="s">
        <v>2</v>
      </c>
      <c r="D119" s="26">
        <v>2587.6</v>
      </c>
      <c r="E119" s="19">
        <f t="shared" si="22"/>
        <v>11178.431999999999</v>
      </c>
      <c r="F119" s="19">
        <f t="shared" si="23"/>
        <v>36950.928</v>
      </c>
      <c r="G119" s="19">
        <f t="shared" si="24"/>
        <v>36640.416</v>
      </c>
      <c r="H119" s="19">
        <f t="shared" si="25"/>
        <v>8073.312</v>
      </c>
      <c r="I119" s="19">
        <f t="shared" si="26"/>
        <v>1863.0720000000001</v>
      </c>
      <c r="J119" s="19">
        <f t="shared" si="27"/>
        <v>5589.215999999999</v>
      </c>
      <c r="K119" s="19">
        <f>60*6*2</f>
        <v>720</v>
      </c>
      <c r="L119" s="8">
        <f>144.73*3</f>
        <v>434.18999999999994</v>
      </c>
      <c r="M119" s="8"/>
      <c r="N119" s="8"/>
      <c r="O119" s="24">
        <f t="shared" si="17"/>
        <v>7115.900000000001</v>
      </c>
      <c r="P119" s="32">
        <f t="shared" si="28"/>
        <v>108565.466</v>
      </c>
      <c r="Q119" s="32">
        <f t="shared" si="34"/>
        <v>40702.948000000004</v>
      </c>
      <c r="R119" s="34">
        <f t="shared" si="18"/>
        <v>95482.43999999999</v>
      </c>
      <c r="S119" s="19"/>
      <c r="T119" s="19"/>
      <c r="U119" s="19"/>
      <c r="V119" s="19"/>
      <c r="W119" s="19"/>
      <c r="X119" s="19"/>
      <c r="Y119" s="32">
        <f t="shared" si="29"/>
        <v>0</v>
      </c>
      <c r="Z119" s="32">
        <f t="shared" si="19"/>
        <v>40056.047999999995</v>
      </c>
      <c r="AA119" s="32"/>
      <c r="AB119" s="32">
        <f t="shared" si="32"/>
        <v>15215.088</v>
      </c>
      <c r="AC119" s="34">
        <f t="shared" si="20"/>
        <v>7247.679999999999</v>
      </c>
      <c r="AD119" s="8"/>
      <c r="AE119" s="8"/>
      <c r="AF119" s="34"/>
      <c r="AG119" s="32">
        <f t="shared" si="21"/>
        <v>36640.416</v>
      </c>
      <c r="AH119" s="32"/>
      <c r="AI119" s="32">
        <f t="shared" si="30"/>
        <v>343910.086</v>
      </c>
    </row>
    <row r="120" spans="1:35" ht="15.75">
      <c r="A120" s="3" t="s">
        <v>86</v>
      </c>
      <c r="B120" s="4" t="s">
        <v>89</v>
      </c>
      <c r="C120" s="3" t="s">
        <v>2</v>
      </c>
      <c r="D120" s="26">
        <v>3426.2</v>
      </c>
      <c r="E120" s="19">
        <f t="shared" si="22"/>
        <v>14801.183999999997</v>
      </c>
      <c r="F120" s="19">
        <f t="shared" si="23"/>
        <v>48926.13599999999</v>
      </c>
      <c r="G120" s="19">
        <f t="shared" si="24"/>
        <v>48514.992</v>
      </c>
      <c r="H120" s="19">
        <f t="shared" si="25"/>
        <v>10689.744</v>
      </c>
      <c r="I120" s="19">
        <f t="shared" si="26"/>
        <v>2466.8639999999996</v>
      </c>
      <c r="J120" s="19">
        <f t="shared" si="27"/>
        <v>7400.591999999999</v>
      </c>
      <c r="K120" s="19">
        <f>70*6*2</f>
        <v>840</v>
      </c>
      <c r="L120" s="8">
        <f>144.73*82</f>
        <v>11867.859999999999</v>
      </c>
      <c r="M120" s="8"/>
      <c r="N120" s="8"/>
      <c r="O120" s="24">
        <f t="shared" si="17"/>
        <v>9422.050000000001</v>
      </c>
      <c r="P120" s="32">
        <f t="shared" si="28"/>
        <v>154929.42199999996</v>
      </c>
      <c r="Q120" s="32">
        <f t="shared" si="34"/>
        <v>53894.126</v>
      </c>
      <c r="R120" s="34">
        <f t="shared" si="18"/>
        <v>126426.77999999998</v>
      </c>
      <c r="S120" s="19"/>
      <c r="T120" s="19"/>
      <c r="U120" s="19"/>
      <c r="V120" s="19"/>
      <c r="W120" s="19"/>
      <c r="X120" s="19"/>
      <c r="Y120" s="32">
        <f t="shared" si="29"/>
        <v>0</v>
      </c>
      <c r="Z120" s="32">
        <f t="shared" si="19"/>
        <v>53037.576</v>
      </c>
      <c r="AA120" s="32"/>
      <c r="AB120" s="32">
        <f t="shared" si="32"/>
        <v>20146.056</v>
      </c>
      <c r="AC120" s="34">
        <f t="shared" si="20"/>
        <v>9595.76</v>
      </c>
      <c r="AD120" s="8"/>
      <c r="AE120" s="8"/>
      <c r="AF120" s="34"/>
      <c r="AG120" s="32">
        <f t="shared" si="21"/>
        <v>48514.992</v>
      </c>
      <c r="AH120" s="32"/>
      <c r="AI120" s="32">
        <f t="shared" si="30"/>
        <v>466544.71199999994</v>
      </c>
    </row>
    <row r="121" spans="1:35" ht="15.75">
      <c r="A121" s="3" t="s">
        <v>86</v>
      </c>
      <c r="B121" s="4" t="s">
        <v>72</v>
      </c>
      <c r="C121" s="3" t="s">
        <v>2</v>
      </c>
      <c r="D121" s="26">
        <v>2873.4</v>
      </c>
      <c r="E121" s="19">
        <f t="shared" si="22"/>
        <v>12413.088</v>
      </c>
      <c r="F121" s="19">
        <f t="shared" si="23"/>
        <v>41032.152</v>
      </c>
      <c r="G121" s="19">
        <f t="shared" si="24"/>
        <v>40687.344</v>
      </c>
      <c r="H121" s="19">
        <f t="shared" si="25"/>
        <v>8965.008000000002</v>
      </c>
      <c r="I121" s="19">
        <f t="shared" si="26"/>
        <v>2068.848</v>
      </c>
      <c r="J121" s="19">
        <f t="shared" si="27"/>
        <v>6206.544</v>
      </c>
      <c r="K121" s="19">
        <f>32*8*4+32*6*2</f>
        <v>1408</v>
      </c>
      <c r="L121" s="8">
        <f>144.73*3</f>
        <v>434.18999999999994</v>
      </c>
      <c r="M121" s="8"/>
      <c r="N121" s="8"/>
      <c r="O121" s="24">
        <f t="shared" si="17"/>
        <v>7901.85</v>
      </c>
      <c r="P121" s="32">
        <f t="shared" si="28"/>
        <v>121117.024</v>
      </c>
      <c r="Q121" s="32">
        <f t="shared" si="34"/>
        <v>45198.582</v>
      </c>
      <c r="R121" s="34">
        <f t="shared" si="18"/>
        <v>106028.46</v>
      </c>
      <c r="S121" s="19">
        <f>30*700</f>
        <v>21000</v>
      </c>
      <c r="T121" s="19"/>
      <c r="U121" s="19">
        <v>11205</v>
      </c>
      <c r="V121" s="19"/>
      <c r="W121" s="19"/>
      <c r="X121" s="19"/>
      <c r="Y121" s="32">
        <f t="shared" si="29"/>
        <v>32205</v>
      </c>
      <c r="Z121" s="32">
        <f t="shared" si="19"/>
        <v>44480.232</v>
      </c>
      <c r="AA121" s="32"/>
      <c r="AB121" s="32">
        <f t="shared" si="32"/>
        <v>16895.592</v>
      </c>
      <c r="AC121" s="34">
        <f t="shared" si="20"/>
        <v>8047.92</v>
      </c>
      <c r="AD121" s="8"/>
      <c r="AE121" s="8"/>
      <c r="AF121" s="34"/>
      <c r="AG121" s="32">
        <f t="shared" si="21"/>
        <v>40687.344</v>
      </c>
      <c r="AH121" s="32"/>
      <c r="AI121" s="32">
        <f t="shared" si="30"/>
        <v>414660.154</v>
      </c>
    </row>
    <row r="122" spans="1:35" ht="15.75">
      <c r="A122" s="3" t="s">
        <v>86</v>
      </c>
      <c r="B122" s="4" t="s">
        <v>16</v>
      </c>
      <c r="C122" s="3" t="s">
        <v>2</v>
      </c>
      <c r="D122" s="26">
        <v>3939.2</v>
      </c>
      <c r="E122" s="19">
        <f t="shared" si="22"/>
        <v>17017.343999999997</v>
      </c>
      <c r="F122" s="19">
        <f t="shared" si="23"/>
        <v>56251.77599999999</v>
      </c>
      <c r="G122" s="19">
        <f t="shared" si="24"/>
        <v>55779.07199999999</v>
      </c>
      <c r="H122" s="19">
        <f t="shared" si="25"/>
        <v>12290.304</v>
      </c>
      <c r="I122" s="19">
        <f t="shared" si="26"/>
        <v>2836.2239999999997</v>
      </c>
      <c r="J122" s="19">
        <f t="shared" si="27"/>
        <v>8508.671999999999</v>
      </c>
      <c r="K122" s="19">
        <f>70*6*2</f>
        <v>840</v>
      </c>
      <c r="L122" s="8">
        <f>144.73*86</f>
        <v>12446.779999999999</v>
      </c>
      <c r="M122" s="8"/>
      <c r="N122" s="8"/>
      <c r="O122" s="24">
        <f t="shared" si="17"/>
        <v>10832.8</v>
      </c>
      <c r="P122" s="32">
        <f t="shared" si="28"/>
        <v>176802.97199999995</v>
      </c>
      <c r="Q122" s="32">
        <f t="shared" si="34"/>
        <v>61963.616</v>
      </c>
      <c r="R122" s="34">
        <f t="shared" si="18"/>
        <v>145356.47999999998</v>
      </c>
      <c r="S122" s="19"/>
      <c r="T122" s="19">
        <f>200*135</f>
        <v>27000</v>
      </c>
      <c r="U122" s="19"/>
      <c r="V122" s="19"/>
      <c r="W122" s="19">
        <f>20*220</f>
        <v>4400</v>
      </c>
      <c r="X122" s="19">
        <v>94000</v>
      </c>
      <c r="Y122" s="32">
        <f t="shared" si="29"/>
        <v>125400</v>
      </c>
      <c r="Z122" s="32">
        <f t="shared" si="19"/>
        <v>60978.816000000006</v>
      </c>
      <c r="AA122" s="32"/>
      <c r="AB122" s="32">
        <f t="shared" si="32"/>
        <v>23162.496</v>
      </c>
      <c r="AC122" s="34">
        <f t="shared" si="20"/>
        <v>11032.16</v>
      </c>
      <c r="AD122" s="8"/>
      <c r="AE122" s="8"/>
      <c r="AF122" s="34"/>
      <c r="AG122" s="32">
        <f t="shared" si="21"/>
        <v>55779.07199999999</v>
      </c>
      <c r="AH122" s="32"/>
      <c r="AI122" s="32">
        <f t="shared" si="30"/>
        <v>660475.6120000001</v>
      </c>
    </row>
    <row r="123" spans="1:35" ht="15.75">
      <c r="A123" s="3" t="s">
        <v>86</v>
      </c>
      <c r="B123" s="4" t="s">
        <v>90</v>
      </c>
      <c r="C123" s="3" t="s">
        <v>2</v>
      </c>
      <c r="D123" s="26">
        <v>3515.2</v>
      </c>
      <c r="E123" s="19">
        <f t="shared" si="22"/>
        <v>15185.664</v>
      </c>
      <c r="F123" s="19">
        <f t="shared" si="23"/>
        <v>50197.056</v>
      </c>
      <c r="G123" s="19">
        <f t="shared" si="24"/>
        <v>49775.231999999996</v>
      </c>
      <c r="H123" s="19">
        <f t="shared" si="25"/>
        <v>10967.423999999999</v>
      </c>
      <c r="I123" s="19">
        <f t="shared" si="26"/>
        <v>2530.9439999999995</v>
      </c>
      <c r="J123" s="19">
        <f t="shared" si="27"/>
        <v>7592.832</v>
      </c>
      <c r="K123" s="19">
        <f>80*6*2</f>
        <v>960</v>
      </c>
      <c r="L123" s="8">
        <f>144.73*90</f>
        <v>13025.699999999999</v>
      </c>
      <c r="M123" s="8"/>
      <c r="N123" s="8"/>
      <c r="O123" s="24">
        <f t="shared" si="17"/>
        <v>9666.800000000001</v>
      </c>
      <c r="P123" s="32">
        <f t="shared" si="28"/>
        <v>159901.652</v>
      </c>
      <c r="Q123" s="32">
        <f t="shared" si="34"/>
        <v>55294.096000000005</v>
      </c>
      <c r="R123" s="34">
        <f t="shared" si="18"/>
        <v>129710.87999999998</v>
      </c>
      <c r="S123" s="19"/>
      <c r="T123" s="19"/>
      <c r="U123" s="19"/>
      <c r="V123" s="19"/>
      <c r="W123" s="19"/>
      <c r="X123" s="19">
        <v>136500</v>
      </c>
      <c r="Y123" s="32">
        <f t="shared" si="29"/>
        <v>136500</v>
      </c>
      <c r="Z123" s="32">
        <f t="shared" si="19"/>
        <v>54415.296</v>
      </c>
      <c r="AA123" s="32"/>
      <c r="AB123" s="32">
        <f t="shared" si="32"/>
        <v>20669.375999999997</v>
      </c>
      <c r="AC123" s="34">
        <f t="shared" si="20"/>
        <v>9844.96</v>
      </c>
      <c r="AD123" s="8"/>
      <c r="AE123" s="8"/>
      <c r="AF123" s="34"/>
      <c r="AG123" s="32">
        <f t="shared" si="21"/>
        <v>49775.231999999996</v>
      </c>
      <c r="AH123" s="32"/>
      <c r="AI123" s="32">
        <f t="shared" si="30"/>
        <v>616111.492</v>
      </c>
    </row>
    <row r="124" spans="1:35" ht="15.75">
      <c r="A124" s="3" t="s">
        <v>86</v>
      </c>
      <c r="B124" s="4" t="s">
        <v>44</v>
      </c>
      <c r="C124" s="3" t="s">
        <v>2</v>
      </c>
      <c r="D124" s="26">
        <v>3552.5</v>
      </c>
      <c r="E124" s="19">
        <f t="shared" si="22"/>
        <v>15346.8</v>
      </c>
      <c r="F124" s="19">
        <f t="shared" si="23"/>
        <v>50729.7</v>
      </c>
      <c r="G124" s="19">
        <f t="shared" si="24"/>
        <v>50303.399999999994</v>
      </c>
      <c r="H124" s="19">
        <f t="shared" si="25"/>
        <v>11083.8</v>
      </c>
      <c r="I124" s="19">
        <f t="shared" si="26"/>
        <v>2557.8</v>
      </c>
      <c r="J124" s="19">
        <f t="shared" si="27"/>
        <v>7673.4</v>
      </c>
      <c r="K124" s="19">
        <f>75*6*2</f>
        <v>900</v>
      </c>
      <c r="L124" s="8">
        <f>144.73*89</f>
        <v>12880.97</v>
      </c>
      <c r="M124" s="8"/>
      <c r="N124" s="8"/>
      <c r="O124" s="24">
        <f t="shared" si="17"/>
        <v>9769.375000000002</v>
      </c>
      <c r="P124" s="32">
        <f t="shared" si="28"/>
        <v>161245.245</v>
      </c>
      <c r="Q124" s="32">
        <f t="shared" si="34"/>
        <v>55880.825000000004</v>
      </c>
      <c r="R124" s="34">
        <f t="shared" si="18"/>
        <v>131087.25</v>
      </c>
      <c r="S124" s="19"/>
      <c r="T124" s="19"/>
      <c r="U124" s="19"/>
      <c r="V124" s="19"/>
      <c r="W124" s="19"/>
      <c r="X124" s="19"/>
      <c r="Y124" s="32">
        <f t="shared" si="29"/>
        <v>0</v>
      </c>
      <c r="Z124" s="32">
        <f t="shared" si="19"/>
        <v>54992.700000000004</v>
      </c>
      <c r="AA124" s="32"/>
      <c r="AB124" s="32">
        <f t="shared" si="32"/>
        <v>20888.699999999997</v>
      </c>
      <c r="AC124" s="34">
        <f t="shared" si="20"/>
        <v>9949.4</v>
      </c>
      <c r="AD124" s="8"/>
      <c r="AE124" s="8"/>
      <c r="AF124" s="34"/>
      <c r="AG124" s="32">
        <f t="shared" si="21"/>
        <v>50303.399999999994</v>
      </c>
      <c r="AH124" s="32">
        <v>57500</v>
      </c>
      <c r="AI124" s="32">
        <f t="shared" si="30"/>
        <v>541847.52</v>
      </c>
    </row>
    <row r="125" spans="1:35" ht="15.75">
      <c r="A125" s="3" t="s">
        <v>86</v>
      </c>
      <c r="B125" s="4" t="s">
        <v>3</v>
      </c>
      <c r="C125" s="3" t="s">
        <v>2</v>
      </c>
      <c r="D125" s="27">
        <v>2863.5</v>
      </c>
      <c r="E125" s="19">
        <f t="shared" si="22"/>
        <v>12370.32</v>
      </c>
      <c r="F125" s="19">
        <f t="shared" si="23"/>
        <v>40890.78</v>
      </c>
      <c r="G125" s="19">
        <f t="shared" si="24"/>
        <v>40547.159999999996</v>
      </c>
      <c r="H125" s="19">
        <f t="shared" si="25"/>
        <v>8934.119999999999</v>
      </c>
      <c r="I125" s="19">
        <f t="shared" si="26"/>
        <v>2061.7200000000003</v>
      </c>
      <c r="J125" s="19">
        <f t="shared" si="27"/>
        <v>6185.16</v>
      </c>
      <c r="K125" s="19">
        <f>32*8*4+32*6*2</f>
        <v>1408</v>
      </c>
      <c r="L125" s="8">
        <f>144.73*3</f>
        <v>434.18999999999994</v>
      </c>
      <c r="M125" s="8"/>
      <c r="N125" s="8"/>
      <c r="O125" s="24">
        <f t="shared" si="17"/>
        <v>7874.625000000001</v>
      </c>
      <c r="P125" s="32">
        <f t="shared" si="28"/>
        <v>120706.075</v>
      </c>
      <c r="Q125" s="32">
        <f t="shared" si="34"/>
        <v>45042.854999999996</v>
      </c>
      <c r="R125" s="34">
        <f t="shared" si="18"/>
        <v>105663.15</v>
      </c>
      <c r="S125" s="19"/>
      <c r="T125" s="19"/>
      <c r="U125" s="19"/>
      <c r="V125" s="19"/>
      <c r="W125" s="19">
        <f>2.2*220</f>
        <v>484.00000000000006</v>
      </c>
      <c r="X125" s="19"/>
      <c r="Y125" s="32">
        <f t="shared" si="29"/>
        <v>484.00000000000006</v>
      </c>
      <c r="Z125" s="32">
        <f t="shared" si="19"/>
        <v>44326.979999999996</v>
      </c>
      <c r="AA125" s="32"/>
      <c r="AB125" s="32">
        <f t="shared" si="32"/>
        <v>16837.38</v>
      </c>
      <c r="AC125" s="34">
        <f t="shared" si="20"/>
        <v>8020.200000000001</v>
      </c>
      <c r="AD125" s="8"/>
      <c r="AE125" s="8"/>
      <c r="AF125" s="34"/>
      <c r="AG125" s="32">
        <f t="shared" si="21"/>
        <v>40547.159999999996</v>
      </c>
      <c r="AH125" s="32"/>
      <c r="AI125" s="32">
        <f t="shared" si="30"/>
        <v>381627.79999999993</v>
      </c>
    </row>
    <row r="126" spans="1:35" ht="15.75">
      <c r="A126" s="5" t="s">
        <v>86</v>
      </c>
      <c r="B126" s="5" t="s">
        <v>65</v>
      </c>
      <c r="C126" s="6"/>
      <c r="D126" s="30">
        <v>4333.2</v>
      </c>
      <c r="E126" s="19">
        <f t="shared" si="22"/>
        <v>18719.424</v>
      </c>
      <c r="F126" s="19">
        <f t="shared" si="23"/>
        <v>61878.096</v>
      </c>
      <c r="G126" s="19">
        <f t="shared" si="24"/>
        <v>61358.111999999994</v>
      </c>
      <c r="H126" s="19">
        <f t="shared" si="25"/>
        <v>13519.584</v>
      </c>
      <c r="I126" s="19">
        <f t="shared" si="26"/>
        <v>3119.9039999999995</v>
      </c>
      <c r="J126" s="19">
        <f t="shared" si="27"/>
        <v>9359.712</v>
      </c>
      <c r="K126" s="19">
        <f>42*6*2</f>
        <v>504</v>
      </c>
      <c r="L126" s="8">
        <f>144.73*32</f>
        <v>4631.36</v>
      </c>
      <c r="M126" s="8"/>
      <c r="N126" s="8"/>
      <c r="O126" s="24">
        <f t="shared" si="17"/>
        <v>11916.300000000001</v>
      </c>
      <c r="P126" s="32">
        <f t="shared" si="28"/>
        <v>185006.49199999997</v>
      </c>
      <c r="Q126" s="32">
        <f t="shared" si="34"/>
        <v>68161.236</v>
      </c>
      <c r="R126" s="34">
        <f t="shared" si="18"/>
        <v>159895.08</v>
      </c>
      <c r="S126" s="19"/>
      <c r="T126" s="19"/>
      <c r="U126" s="19"/>
      <c r="V126" s="19"/>
      <c r="W126" s="19"/>
      <c r="X126" s="19"/>
      <c r="Y126" s="32">
        <f t="shared" si="29"/>
        <v>0</v>
      </c>
      <c r="Z126" s="32">
        <f t="shared" si="19"/>
        <v>67077.93599999999</v>
      </c>
      <c r="AA126" s="32"/>
      <c r="AB126" s="32">
        <f t="shared" si="32"/>
        <v>25479.216</v>
      </c>
      <c r="AC126" s="34">
        <f t="shared" si="20"/>
        <v>12135.359999999999</v>
      </c>
      <c r="AD126" s="8"/>
      <c r="AE126" s="8"/>
      <c r="AF126" s="34"/>
      <c r="AG126" s="32">
        <f t="shared" si="21"/>
        <v>61358.111999999994</v>
      </c>
      <c r="AH126" s="32"/>
      <c r="AI126" s="32">
        <f t="shared" si="30"/>
        <v>579113.4319999999</v>
      </c>
    </row>
    <row r="127" spans="1:35" ht="15.75">
      <c r="A127" s="3" t="s">
        <v>86</v>
      </c>
      <c r="B127" s="4" t="s">
        <v>73</v>
      </c>
      <c r="C127" s="3" t="s">
        <v>2</v>
      </c>
      <c r="D127" s="26">
        <v>2718.6</v>
      </c>
      <c r="E127" s="19">
        <f t="shared" si="22"/>
        <v>11744.351999999999</v>
      </c>
      <c r="F127" s="19">
        <f t="shared" si="23"/>
        <v>38821.60799999999</v>
      </c>
      <c r="G127" s="19">
        <f t="shared" si="24"/>
        <v>38495.376</v>
      </c>
      <c r="H127" s="19">
        <f t="shared" si="25"/>
        <v>8482.032</v>
      </c>
      <c r="I127" s="19">
        <f t="shared" si="26"/>
        <v>1957.3919999999998</v>
      </c>
      <c r="J127" s="19">
        <f t="shared" si="27"/>
        <v>5872.1759999999995</v>
      </c>
      <c r="K127" s="19">
        <f>37*8*4+37*6*2</f>
        <v>1628</v>
      </c>
      <c r="L127" s="8">
        <f>144.73*3</f>
        <v>434.18999999999994</v>
      </c>
      <c r="M127" s="8"/>
      <c r="N127" s="8"/>
      <c r="O127" s="24">
        <f t="shared" si="17"/>
        <v>7476.15</v>
      </c>
      <c r="P127" s="32">
        <f t="shared" si="28"/>
        <v>114911.27599999998</v>
      </c>
      <c r="Q127" s="32">
        <f t="shared" si="34"/>
        <v>42763.578</v>
      </c>
      <c r="R127" s="34">
        <f t="shared" si="18"/>
        <v>100316.34</v>
      </c>
      <c r="S127" s="19"/>
      <c r="T127" s="19"/>
      <c r="U127" s="19"/>
      <c r="V127" s="19"/>
      <c r="W127" s="19"/>
      <c r="X127" s="19"/>
      <c r="Y127" s="32">
        <f t="shared" si="29"/>
        <v>0</v>
      </c>
      <c r="Z127" s="32">
        <f t="shared" si="19"/>
        <v>42083.928</v>
      </c>
      <c r="AA127" s="32"/>
      <c r="AB127" s="32">
        <f t="shared" si="32"/>
        <v>15985.368</v>
      </c>
      <c r="AC127" s="34">
        <f t="shared" si="20"/>
        <v>7614.48</v>
      </c>
      <c r="AD127" s="8"/>
      <c r="AE127" s="8"/>
      <c r="AF127" s="34"/>
      <c r="AG127" s="32">
        <f t="shared" si="21"/>
        <v>38495.376</v>
      </c>
      <c r="AH127" s="32"/>
      <c r="AI127" s="32">
        <f t="shared" si="30"/>
        <v>362170.34599999996</v>
      </c>
    </row>
    <row r="128" spans="1:35" ht="15.75">
      <c r="A128" s="3" t="s">
        <v>86</v>
      </c>
      <c r="B128" s="4" t="s">
        <v>92</v>
      </c>
      <c r="C128" s="3" t="s">
        <v>2</v>
      </c>
      <c r="D128" s="26">
        <v>2156.3</v>
      </c>
      <c r="E128" s="19">
        <f t="shared" si="22"/>
        <v>9315.216</v>
      </c>
      <c r="F128" s="19">
        <f t="shared" si="23"/>
        <v>30791.964000000004</v>
      </c>
      <c r="G128" s="19">
        <f t="shared" si="24"/>
        <v>30533.208000000002</v>
      </c>
      <c r="H128" s="19">
        <f t="shared" si="25"/>
        <v>6727.656000000001</v>
      </c>
      <c r="I128" s="19">
        <f t="shared" si="26"/>
        <v>1552.536</v>
      </c>
      <c r="J128" s="19">
        <f t="shared" si="27"/>
        <v>4657.608</v>
      </c>
      <c r="K128" s="19">
        <f>36*8*4+36*6*2</f>
        <v>1584</v>
      </c>
      <c r="L128" s="8">
        <f>144.73*2</f>
        <v>289.46</v>
      </c>
      <c r="M128" s="8"/>
      <c r="N128" s="8"/>
      <c r="O128" s="24">
        <f t="shared" si="17"/>
        <v>5929.825000000001</v>
      </c>
      <c r="P128" s="32">
        <f t="shared" si="28"/>
        <v>91381.47300000003</v>
      </c>
      <c r="Q128" s="32">
        <f t="shared" si="34"/>
        <v>33918.599</v>
      </c>
      <c r="R128" s="34">
        <f t="shared" si="18"/>
        <v>79567.47</v>
      </c>
      <c r="S128" s="19"/>
      <c r="T128" s="19"/>
      <c r="U128" s="19"/>
      <c r="V128" s="19"/>
      <c r="W128" s="19"/>
      <c r="X128" s="19"/>
      <c r="Y128" s="32">
        <f t="shared" si="29"/>
        <v>0</v>
      </c>
      <c r="Z128" s="32">
        <f t="shared" si="19"/>
        <v>33379.524000000005</v>
      </c>
      <c r="AA128" s="32"/>
      <c r="AB128" s="32">
        <f t="shared" si="32"/>
        <v>12679.044</v>
      </c>
      <c r="AC128" s="34">
        <f t="shared" si="20"/>
        <v>6040.04</v>
      </c>
      <c r="AD128" s="8"/>
      <c r="AE128" s="8"/>
      <c r="AF128" s="34"/>
      <c r="AG128" s="32">
        <f t="shared" si="21"/>
        <v>30533.208000000002</v>
      </c>
      <c r="AH128" s="32"/>
      <c r="AI128" s="32">
        <f t="shared" si="30"/>
        <v>287499.358</v>
      </c>
    </row>
    <row r="129" spans="1:35" ht="15.75">
      <c r="A129" s="3" t="s">
        <v>86</v>
      </c>
      <c r="B129" s="4" t="s">
        <v>93</v>
      </c>
      <c r="C129" s="3" t="s">
        <v>2</v>
      </c>
      <c r="D129" s="26">
        <v>3204</v>
      </c>
      <c r="E129" s="19">
        <f t="shared" si="22"/>
        <v>13841.28</v>
      </c>
      <c r="F129" s="19">
        <f t="shared" si="23"/>
        <v>45753.119999999995</v>
      </c>
      <c r="G129" s="19">
        <f t="shared" si="24"/>
        <v>45368.64</v>
      </c>
      <c r="H129" s="19">
        <f t="shared" si="25"/>
        <v>9996.480000000001</v>
      </c>
      <c r="I129" s="19">
        <f t="shared" si="26"/>
        <v>2306.8799999999997</v>
      </c>
      <c r="J129" s="19">
        <f t="shared" si="27"/>
        <v>6920.64</v>
      </c>
      <c r="K129" s="19">
        <f>45*8*4+45*6*2</f>
        <v>1980</v>
      </c>
      <c r="L129" s="8">
        <f aca="true" t="shared" si="35" ref="L129:L134">144.73*3</f>
        <v>434.18999999999994</v>
      </c>
      <c r="M129" s="8"/>
      <c r="N129" s="8"/>
      <c r="O129" s="24">
        <f t="shared" si="17"/>
        <v>8811</v>
      </c>
      <c r="P129" s="32">
        <f t="shared" si="28"/>
        <v>135412.22999999998</v>
      </c>
      <c r="Q129" s="32">
        <f t="shared" si="34"/>
        <v>50398.920000000006</v>
      </c>
      <c r="R129" s="34">
        <f t="shared" si="18"/>
        <v>118227.6</v>
      </c>
      <c r="S129" s="19">
        <f>279.9*700</f>
        <v>195929.99999999997</v>
      </c>
      <c r="T129" s="19"/>
      <c r="U129" s="19">
        <v>94118</v>
      </c>
      <c r="V129" s="19"/>
      <c r="W129" s="19">
        <f>7*220</f>
        <v>1540</v>
      </c>
      <c r="X129" s="19"/>
      <c r="Y129" s="32">
        <f t="shared" si="29"/>
        <v>291588</v>
      </c>
      <c r="Z129" s="32">
        <f t="shared" si="19"/>
        <v>49597.92</v>
      </c>
      <c r="AA129" s="32"/>
      <c r="AB129" s="32">
        <f t="shared" si="32"/>
        <v>18839.52</v>
      </c>
      <c r="AC129" s="34">
        <f t="shared" si="20"/>
        <v>8973.6</v>
      </c>
      <c r="AD129" s="8"/>
      <c r="AE129" s="8"/>
      <c r="AF129" s="34"/>
      <c r="AG129" s="32">
        <f t="shared" si="21"/>
        <v>45368.64</v>
      </c>
      <c r="AH129" s="32"/>
      <c r="AI129" s="32">
        <f t="shared" si="30"/>
        <v>718406.43</v>
      </c>
    </row>
    <row r="130" spans="1:35" ht="15.75">
      <c r="A130" s="3" t="s">
        <v>94</v>
      </c>
      <c r="B130" s="4" t="s">
        <v>71</v>
      </c>
      <c r="C130" s="3" t="s">
        <v>2</v>
      </c>
      <c r="D130" s="29">
        <v>909.3</v>
      </c>
      <c r="E130" s="19">
        <f t="shared" si="22"/>
        <v>3928.1759999999995</v>
      </c>
      <c r="F130" s="19">
        <f t="shared" si="23"/>
        <v>12984.804</v>
      </c>
      <c r="G130" s="19">
        <f t="shared" si="24"/>
        <v>12875.687999999998</v>
      </c>
      <c r="H130" s="19">
        <f t="shared" si="25"/>
        <v>2837.016</v>
      </c>
      <c r="I130" s="19">
        <f t="shared" si="26"/>
        <v>654.6959999999999</v>
      </c>
      <c r="J130" s="19">
        <f t="shared" si="27"/>
        <v>1964.0879999999997</v>
      </c>
      <c r="K130" s="19">
        <f>13*6*2</f>
        <v>156</v>
      </c>
      <c r="L130" s="8">
        <f t="shared" si="35"/>
        <v>434.18999999999994</v>
      </c>
      <c r="M130" s="8"/>
      <c r="N130" s="8"/>
      <c r="O130" s="24">
        <f t="shared" si="17"/>
        <v>2500.575</v>
      </c>
      <c r="P130" s="32">
        <f t="shared" si="28"/>
        <v>38335.23299999999</v>
      </c>
      <c r="Q130" s="32"/>
      <c r="R130" s="34">
        <f t="shared" si="18"/>
        <v>33553.17</v>
      </c>
      <c r="S130" s="19"/>
      <c r="T130" s="19"/>
      <c r="U130" s="19"/>
      <c r="V130" s="19"/>
      <c r="W130" s="19"/>
      <c r="X130" s="19"/>
      <c r="Y130" s="32">
        <f t="shared" si="29"/>
        <v>0</v>
      </c>
      <c r="Z130" s="32">
        <f t="shared" si="19"/>
        <v>14075.964</v>
      </c>
      <c r="AA130" s="32"/>
      <c r="AB130" s="32">
        <f t="shared" si="32"/>
        <v>5346.683999999999</v>
      </c>
      <c r="AC130" s="34">
        <f t="shared" si="20"/>
        <v>2548.44</v>
      </c>
      <c r="AD130" s="8"/>
      <c r="AE130" s="8"/>
      <c r="AF130" s="34"/>
      <c r="AG130" s="32">
        <f t="shared" si="21"/>
        <v>12875.687999999998</v>
      </c>
      <c r="AH130" s="32">
        <v>57500</v>
      </c>
      <c r="AI130" s="32">
        <f t="shared" si="30"/>
        <v>164235.179</v>
      </c>
    </row>
    <row r="131" spans="1:35" ht="15.75">
      <c r="A131" s="3" t="s">
        <v>94</v>
      </c>
      <c r="B131" s="4" t="s">
        <v>44</v>
      </c>
      <c r="C131" s="3" t="s">
        <v>2</v>
      </c>
      <c r="D131" s="26">
        <v>2792.7</v>
      </c>
      <c r="E131" s="19">
        <f t="shared" si="22"/>
        <v>12064.463999999998</v>
      </c>
      <c r="F131" s="19">
        <f t="shared" si="23"/>
        <v>39879.755999999994</v>
      </c>
      <c r="G131" s="19">
        <f t="shared" si="24"/>
        <v>39544.632</v>
      </c>
      <c r="H131" s="19">
        <f t="shared" si="25"/>
        <v>8713.224</v>
      </c>
      <c r="I131" s="19">
        <f t="shared" si="26"/>
        <v>2010.7439999999997</v>
      </c>
      <c r="J131" s="19">
        <f t="shared" si="27"/>
        <v>6032.231999999999</v>
      </c>
      <c r="K131" s="19">
        <f>56*8*4+56*6*2</f>
        <v>2464</v>
      </c>
      <c r="L131" s="8">
        <f t="shared" si="35"/>
        <v>434.18999999999994</v>
      </c>
      <c r="M131" s="8"/>
      <c r="N131" s="8"/>
      <c r="O131" s="24">
        <f aca="true" t="shared" si="36" ref="O131:O194">D131*0.55*5</f>
        <v>7679.925000000001</v>
      </c>
      <c r="P131" s="32">
        <f t="shared" si="28"/>
        <v>118823.167</v>
      </c>
      <c r="Q131" s="32">
        <f>D131*1.27*5+D131*1.34*7</f>
        <v>43929.171</v>
      </c>
      <c r="R131" s="34">
        <f aca="true" t="shared" si="37" ref="R131:R194">D131*3.18*5+D131*3*7</f>
        <v>103050.62999999999</v>
      </c>
      <c r="S131" s="19"/>
      <c r="T131" s="19"/>
      <c r="U131" s="19"/>
      <c r="V131" s="19"/>
      <c r="W131" s="19"/>
      <c r="X131" s="19"/>
      <c r="Y131" s="32">
        <f t="shared" si="29"/>
        <v>0</v>
      </c>
      <c r="Z131" s="32">
        <f aca="true" t="shared" si="38" ref="Z131:Z194">D131*1.29*12</f>
        <v>43230.996</v>
      </c>
      <c r="AA131" s="32"/>
      <c r="AB131" s="32">
        <f t="shared" si="32"/>
        <v>16421.075999999997</v>
      </c>
      <c r="AC131" s="34">
        <f aca="true" t="shared" si="39" ref="AC131:AC194">D131*0.4*7+0.48*5</f>
        <v>7821.959999999999</v>
      </c>
      <c r="AD131" s="8"/>
      <c r="AE131" s="8"/>
      <c r="AF131" s="34"/>
      <c r="AG131" s="32">
        <f aca="true" t="shared" si="40" ref="AG131:AG194">D131*1.18*12</f>
        <v>39544.632</v>
      </c>
      <c r="AH131" s="32">
        <v>57500</v>
      </c>
      <c r="AI131" s="32">
        <f t="shared" si="30"/>
        <v>430321.632</v>
      </c>
    </row>
    <row r="132" spans="1:35" ht="15.75">
      <c r="A132" s="3" t="s">
        <v>94</v>
      </c>
      <c r="B132" s="4" t="s">
        <v>95</v>
      </c>
      <c r="C132" s="3" t="s">
        <v>2</v>
      </c>
      <c r="D132" s="26">
        <v>3245.1</v>
      </c>
      <c r="E132" s="19">
        <f aca="true" t="shared" si="41" ref="E132:E195">D132*0.36*12</f>
        <v>14018.831999999999</v>
      </c>
      <c r="F132" s="19">
        <f aca="true" t="shared" si="42" ref="F132:F195">D132*1.19*12</f>
        <v>46340.028</v>
      </c>
      <c r="G132" s="19">
        <f aca="true" t="shared" si="43" ref="G132:G195">D132*1.18*12</f>
        <v>45950.615999999995</v>
      </c>
      <c r="H132" s="19">
        <f aca="true" t="shared" si="44" ref="H132:H195">D132*0.26*12</f>
        <v>10124.712</v>
      </c>
      <c r="I132" s="19">
        <f aca="true" t="shared" si="45" ref="I132:I195">D132*0.06*12</f>
        <v>2336.4719999999998</v>
      </c>
      <c r="J132" s="19">
        <f aca="true" t="shared" si="46" ref="J132:J195">D132*0.18*12</f>
        <v>7009.415999999999</v>
      </c>
      <c r="K132" s="19">
        <f>80*8*4+80*6*2</f>
        <v>3520</v>
      </c>
      <c r="L132" s="8">
        <f t="shared" si="35"/>
        <v>434.18999999999994</v>
      </c>
      <c r="M132" s="8"/>
      <c r="N132" s="8"/>
      <c r="O132" s="24">
        <f t="shared" si="36"/>
        <v>8924.025</v>
      </c>
      <c r="P132" s="32">
        <f aca="true" t="shared" si="47" ref="P132:P195">SUM(E132:O132)</f>
        <v>138658.291</v>
      </c>
      <c r="Q132" s="32">
        <f>D132*1.27*5+D132*1.34*7</f>
        <v>51045.423</v>
      </c>
      <c r="R132" s="34">
        <f t="shared" si="37"/>
        <v>119744.18999999999</v>
      </c>
      <c r="S132" s="19"/>
      <c r="T132" s="19"/>
      <c r="U132" s="19"/>
      <c r="V132" s="19"/>
      <c r="W132" s="19"/>
      <c r="X132" s="19"/>
      <c r="Y132" s="32">
        <f aca="true" t="shared" si="48" ref="Y132:Y195">SUM(S132:X132)</f>
        <v>0</v>
      </c>
      <c r="Z132" s="32">
        <f t="shared" si="38"/>
        <v>50234.148</v>
      </c>
      <c r="AA132" s="32"/>
      <c r="AB132" s="32">
        <f t="shared" si="32"/>
        <v>19081.188</v>
      </c>
      <c r="AC132" s="34">
        <f t="shared" si="39"/>
        <v>9088.679999999998</v>
      </c>
      <c r="AD132" s="8"/>
      <c r="AE132" s="8"/>
      <c r="AF132" s="34"/>
      <c r="AG132" s="32">
        <f t="shared" si="40"/>
        <v>45950.615999999995</v>
      </c>
      <c r="AH132" s="32">
        <v>57500</v>
      </c>
      <c r="AI132" s="32">
        <f aca="true" t="shared" si="49" ref="AI132:AI195">P132+Q132+R132+Y132+Z132+AA132+AB132+AC132+AF132+AG132+AH132</f>
        <v>491302.53599999996</v>
      </c>
    </row>
    <row r="133" spans="1:35" ht="15.75">
      <c r="A133" s="3" t="s">
        <v>94</v>
      </c>
      <c r="B133" s="4" t="s">
        <v>96</v>
      </c>
      <c r="C133" s="3" t="s">
        <v>2</v>
      </c>
      <c r="D133" s="26">
        <v>1555.8</v>
      </c>
      <c r="E133" s="19">
        <f t="shared" si="41"/>
        <v>6721.056</v>
      </c>
      <c r="F133" s="19">
        <f t="shared" si="42"/>
        <v>22216.823999999997</v>
      </c>
      <c r="G133" s="19">
        <f t="shared" si="43"/>
        <v>22030.127999999997</v>
      </c>
      <c r="H133" s="19">
        <f t="shared" si="44"/>
        <v>4854.096</v>
      </c>
      <c r="I133" s="19">
        <f t="shared" si="45"/>
        <v>1120.176</v>
      </c>
      <c r="J133" s="19">
        <f t="shared" si="46"/>
        <v>3360.528</v>
      </c>
      <c r="K133" s="19">
        <f>39*8*4+39*6*2</f>
        <v>1716</v>
      </c>
      <c r="L133" s="8">
        <f t="shared" si="35"/>
        <v>434.18999999999994</v>
      </c>
      <c r="M133" s="8"/>
      <c r="N133" s="8"/>
      <c r="O133" s="24">
        <f t="shared" si="36"/>
        <v>4278.450000000001</v>
      </c>
      <c r="P133" s="32">
        <f t="shared" si="47"/>
        <v>66731.44799999999</v>
      </c>
      <c r="Q133" s="32">
        <f>D133*1.27*5+D133*1.34*7</f>
        <v>24472.733999999997</v>
      </c>
      <c r="R133" s="34">
        <f t="shared" si="37"/>
        <v>57409.02</v>
      </c>
      <c r="S133" s="19"/>
      <c r="T133" s="19"/>
      <c r="U133" s="19"/>
      <c r="V133" s="19"/>
      <c r="W133" s="19"/>
      <c r="X133" s="19"/>
      <c r="Y133" s="32">
        <f t="shared" si="48"/>
        <v>0</v>
      </c>
      <c r="Z133" s="32">
        <f t="shared" si="38"/>
        <v>24083.784</v>
      </c>
      <c r="AA133" s="32"/>
      <c r="AB133" s="32">
        <f t="shared" si="32"/>
        <v>9148.104</v>
      </c>
      <c r="AC133" s="34">
        <f t="shared" si="39"/>
        <v>4358.64</v>
      </c>
      <c r="AD133" s="8"/>
      <c r="AE133" s="8"/>
      <c r="AF133" s="34"/>
      <c r="AG133" s="32">
        <f t="shared" si="40"/>
        <v>22030.127999999997</v>
      </c>
      <c r="AH133" s="32">
        <v>57500</v>
      </c>
      <c r="AI133" s="32">
        <f t="shared" si="49"/>
        <v>265733.858</v>
      </c>
    </row>
    <row r="134" spans="1:35" ht="15.75">
      <c r="A134" s="3" t="s">
        <v>94</v>
      </c>
      <c r="B134" s="4" t="s">
        <v>73</v>
      </c>
      <c r="C134" s="3" t="s">
        <v>2</v>
      </c>
      <c r="D134" s="26">
        <v>1304.4</v>
      </c>
      <c r="E134" s="19">
        <f t="shared" si="41"/>
        <v>5635.008</v>
      </c>
      <c r="F134" s="19">
        <f t="shared" si="42"/>
        <v>18626.832000000002</v>
      </c>
      <c r="G134" s="19">
        <f t="shared" si="43"/>
        <v>18470.304</v>
      </c>
      <c r="H134" s="19">
        <f t="shared" si="44"/>
        <v>4069.728000000001</v>
      </c>
      <c r="I134" s="19">
        <f t="shared" si="45"/>
        <v>939.1679999999999</v>
      </c>
      <c r="J134" s="19">
        <f t="shared" si="46"/>
        <v>2817.504</v>
      </c>
      <c r="K134" s="19">
        <f>27*8*4+27*6*2</f>
        <v>1188</v>
      </c>
      <c r="L134" s="8">
        <f t="shared" si="35"/>
        <v>434.18999999999994</v>
      </c>
      <c r="M134" s="8"/>
      <c r="N134" s="8">
        <f>875*20.77</f>
        <v>18173.75</v>
      </c>
      <c r="O134" s="24">
        <f t="shared" si="36"/>
        <v>3587.1000000000004</v>
      </c>
      <c r="P134" s="32">
        <f t="shared" si="47"/>
        <v>73941.584</v>
      </c>
      <c r="Q134" s="32"/>
      <c r="R134" s="34">
        <f t="shared" si="37"/>
        <v>48132.36</v>
      </c>
      <c r="S134" s="19"/>
      <c r="T134" s="19"/>
      <c r="U134" s="19"/>
      <c r="V134" s="19"/>
      <c r="W134" s="19">
        <f>4.4*220</f>
        <v>968.0000000000001</v>
      </c>
      <c r="X134" s="19"/>
      <c r="Y134" s="32">
        <f t="shared" si="48"/>
        <v>968.0000000000001</v>
      </c>
      <c r="Z134" s="32">
        <f t="shared" si="38"/>
        <v>20192.112</v>
      </c>
      <c r="AA134" s="32"/>
      <c r="AB134" s="32">
        <f t="shared" si="32"/>
        <v>7669.872000000001</v>
      </c>
      <c r="AC134" s="34">
        <f t="shared" si="39"/>
        <v>3654.7200000000007</v>
      </c>
      <c r="AD134" s="8"/>
      <c r="AE134" s="8"/>
      <c r="AF134" s="34"/>
      <c r="AG134" s="32">
        <f t="shared" si="40"/>
        <v>18470.304</v>
      </c>
      <c r="AH134" s="32">
        <v>57500</v>
      </c>
      <c r="AI134" s="32">
        <f t="shared" si="49"/>
        <v>230528.95200000002</v>
      </c>
    </row>
    <row r="135" spans="1:35" ht="15.75">
      <c r="A135" s="5" t="s">
        <v>97</v>
      </c>
      <c r="B135" s="5" t="s">
        <v>80</v>
      </c>
      <c r="C135" s="6"/>
      <c r="D135" s="29">
        <v>152.68</v>
      </c>
      <c r="E135" s="19">
        <f t="shared" si="41"/>
        <v>659.5776000000001</v>
      </c>
      <c r="F135" s="19">
        <f t="shared" si="42"/>
        <v>2180.2704</v>
      </c>
      <c r="G135" s="19">
        <f t="shared" si="43"/>
        <v>2161.9488</v>
      </c>
      <c r="H135" s="19">
        <f t="shared" si="44"/>
        <v>476.36160000000007</v>
      </c>
      <c r="I135" s="19">
        <f t="shared" si="45"/>
        <v>109.9296</v>
      </c>
      <c r="J135" s="19">
        <f t="shared" si="46"/>
        <v>329.78880000000004</v>
      </c>
      <c r="K135" s="19">
        <f>2*230</f>
        <v>460</v>
      </c>
      <c r="L135" s="8"/>
      <c r="M135" s="8"/>
      <c r="N135" s="8"/>
      <c r="O135" s="24">
        <f t="shared" si="36"/>
        <v>419.87</v>
      </c>
      <c r="P135" s="32">
        <f t="shared" si="47"/>
        <v>6797.746800000001</v>
      </c>
      <c r="Q135" s="32"/>
      <c r="R135" s="34">
        <f t="shared" si="37"/>
        <v>5633.892</v>
      </c>
      <c r="S135" s="19"/>
      <c r="T135" s="19"/>
      <c r="U135" s="19"/>
      <c r="V135" s="19"/>
      <c r="W135" s="19"/>
      <c r="X135" s="19"/>
      <c r="Y135" s="32">
        <f t="shared" si="48"/>
        <v>0</v>
      </c>
      <c r="Z135" s="32">
        <f t="shared" si="38"/>
        <v>2363.4864</v>
      </c>
      <c r="AA135" s="32"/>
      <c r="AB135" s="32">
        <f t="shared" si="32"/>
        <v>897.7584000000002</v>
      </c>
      <c r="AC135" s="34">
        <f t="shared" si="39"/>
        <v>429.904</v>
      </c>
      <c r="AD135" s="8"/>
      <c r="AE135" s="8"/>
      <c r="AF135" s="34"/>
      <c r="AG135" s="32">
        <f t="shared" si="40"/>
        <v>2161.9488</v>
      </c>
      <c r="AH135" s="32"/>
      <c r="AI135" s="32">
        <f t="shared" si="49"/>
        <v>18284.7364</v>
      </c>
    </row>
    <row r="136" spans="1:35" ht="15.75">
      <c r="A136" s="5" t="s">
        <v>98</v>
      </c>
      <c r="B136" s="5" t="s">
        <v>39</v>
      </c>
      <c r="C136" s="6"/>
      <c r="D136" s="29">
        <v>255.2</v>
      </c>
      <c r="E136" s="19">
        <f t="shared" si="41"/>
        <v>1102.464</v>
      </c>
      <c r="F136" s="19">
        <f t="shared" si="42"/>
        <v>3644.256</v>
      </c>
      <c r="G136" s="19">
        <f t="shared" si="43"/>
        <v>3613.6319999999996</v>
      </c>
      <c r="H136" s="19">
        <f t="shared" si="44"/>
        <v>796.224</v>
      </c>
      <c r="I136" s="19">
        <f t="shared" si="45"/>
        <v>183.744</v>
      </c>
      <c r="J136" s="19">
        <f t="shared" si="46"/>
        <v>551.232</v>
      </c>
      <c r="K136" s="19">
        <f>4*230</f>
        <v>920</v>
      </c>
      <c r="L136" s="8"/>
      <c r="M136" s="8"/>
      <c r="N136" s="8"/>
      <c r="O136" s="24">
        <f t="shared" si="36"/>
        <v>701.8000000000001</v>
      </c>
      <c r="P136" s="32">
        <f t="shared" si="47"/>
        <v>11513.351999999999</v>
      </c>
      <c r="Q136" s="32"/>
      <c r="R136" s="34">
        <f t="shared" si="37"/>
        <v>9416.88</v>
      </c>
      <c r="S136" s="19"/>
      <c r="T136" s="19"/>
      <c r="U136" s="19"/>
      <c r="V136" s="19"/>
      <c r="W136" s="19"/>
      <c r="X136" s="19"/>
      <c r="Y136" s="32">
        <f t="shared" si="48"/>
        <v>0</v>
      </c>
      <c r="Z136" s="32">
        <f t="shared" si="38"/>
        <v>3950.4959999999996</v>
      </c>
      <c r="AA136" s="32"/>
      <c r="AB136" s="32">
        <f t="shared" si="32"/>
        <v>1500.5759999999998</v>
      </c>
      <c r="AC136" s="34">
        <f t="shared" si="39"/>
        <v>716.9599999999999</v>
      </c>
      <c r="AD136" s="8"/>
      <c r="AE136" s="8"/>
      <c r="AF136" s="34"/>
      <c r="AG136" s="32">
        <f t="shared" si="40"/>
        <v>3613.6319999999996</v>
      </c>
      <c r="AH136" s="32"/>
      <c r="AI136" s="32">
        <f t="shared" si="49"/>
        <v>30711.895999999993</v>
      </c>
    </row>
    <row r="137" spans="1:35" ht="15.75">
      <c r="A137" s="3" t="s">
        <v>99</v>
      </c>
      <c r="B137" s="4" t="s">
        <v>3</v>
      </c>
      <c r="C137" s="3" t="s">
        <v>2</v>
      </c>
      <c r="D137" s="29">
        <v>411.6</v>
      </c>
      <c r="E137" s="19">
        <f t="shared" si="41"/>
        <v>1778.112</v>
      </c>
      <c r="F137" s="19">
        <f t="shared" si="42"/>
        <v>5877.648</v>
      </c>
      <c r="G137" s="19">
        <f t="shared" si="43"/>
        <v>5828.255999999999</v>
      </c>
      <c r="H137" s="19">
        <f t="shared" si="44"/>
        <v>1284.192</v>
      </c>
      <c r="I137" s="19">
        <f t="shared" si="45"/>
        <v>296.35200000000003</v>
      </c>
      <c r="J137" s="19">
        <f t="shared" si="46"/>
        <v>889.056</v>
      </c>
      <c r="K137" s="19">
        <f>2*230</f>
        <v>460</v>
      </c>
      <c r="L137" s="8"/>
      <c r="M137" s="8"/>
      <c r="N137" s="8"/>
      <c r="O137" s="24">
        <f t="shared" si="36"/>
        <v>1131.9</v>
      </c>
      <c r="P137" s="32">
        <f t="shared" si="47"/>
        <v>17545.516000000003</v>
      </c>
      <c r="Q137" s="32"/>
      <c r="R137" s="34">
        <f t="shared" si="37"/>
        <v>15188.040000000003</v>
      </c>
      <c r="S137" s="19"/>
      <c r="T137" s="19"/>
      <c r="U137" s="19"/>
      <c r="V137" s="19"/>
      <c r="W137" s="19"/>
      <c r="X137" s="19"/>
      <c r="Y137" s="32">
        <f t="shared" si="48"/>
        <v>0</v>
      </c>
      <c r="Z137" s="32">
        <f t="shared" si="38"/>
        <v>6371.568000000001</v>
      </c>
      <c r="AA137" s="32"/>
      <c r="AB137" s="32">
        <f t="shared" si="32"/>
        <v>2420.208</v>
      </c>
      <c r="AC137" s="34">
        <f t="shared" si="39"/>
        <v>1154.88</v>
      </c>
      <c r="AD137" s="8"/>
      <c r="AE137" s="8"/>
      <c r="AF137" s="34"/>
      <c r="AG137" s="32">
        <f t="shared" si="40"/>
        <v>5828.255999999999</v>
      </c>
      <c r="AH137" s="32"/>
      <c r="AI137" s="32">
        <f t="shared" si="49"/>
        <v>48508.468</v>
      </c>
    </row>
    <row r="138" spans="1:35" ht="15.75">
      <c r="A138" s="3" t="s">
        <v>100</v>
      </c>
      <c r="B138" s="4" t="s">
        <v>34</v>
      </c>
      <c r="C138" s="3" t="s">
        <v>2</v>
      </c>
      <c r="D138" s="26">
        <v>404.8</v>
      </c>
      <c r="E138" s="19">
        <f t="shared" si="41"/>
        <v>1748.736</v>
      </c>
      <c r="F138" s="19">
        <f t="shared" si="42"/>
        <v>5780.544</v>
      </c>
      <c r="G138" s="19">
        <f t="shared" si="43"/>
        <v>5731.968</v>
      </c>
      <c r="H138" s="19">
        <f t="shared" si="44"/>
        <v>1262.976</v>
      </c>
      <c r="I138" s="19">
        <f t="shared" si="45"/>
        <v>291.456</v>
      </c>
      <c r="J138" s="19">
        <f t="shared" si="46"/>
        <v>874.368</v>
      </c>
      <c r="K138" s="19">
        <f>8*8*4+8*6*2</f>
        <v>352</v>
      </c>
      <c r="L138" s="8">
        <f>144.73*2</f>
        <v>289.46</v>
      </c>
      <c r="M138" s="8"/>
      <c r="N138" s="8"/>
      <c r="O138" s="24">
        <f t="shared" si="36"/>
        <v>1113.2</v>
      </c>
      <c r="P138" s="32">
        <f t="shared" si="47"/>
        <v>17444.708</v>
      </c>
      <c r="Q138" s="32"/>
      <c r="R138" s="34">
        <f t="shared" si="37"/>
        <v>14937.120000000003</v>
      </c>
      <c r="S138" s="19"/>
      <c r="T138" s="19"/>
      <c r="U138" s="19"/>
      <c r="V138" s="19"/>
      <c r="W138" s="19"/>
      <c r="X138" s="19"/>
      <c r="Y138" s="32">
        <f t="shared" si="48"/>
        <v>0</v>
      </c>
      <c r="Z138" s="32">
        <f t="shared" si="38"/>
        <v>6266.304</v>
      </c>
      <c r="AA138" s="32"/>
      <c r="AB138" s="32">
        <f t="shared" si="32"/>
        <v>2380.224</v>
      </c>
      <c r="AC138" s="34">
        <f t="shared" si="39"/>
        <v>1135.8400000000001</v>
      </c>
      <c r="AD138" s="8"/>
      <c r="AE138" s="8"/>
      <c r="AF138" s="34"/>
      <c r="AG138" s="32">
        <f t="shared" si="40"/>
        <v>5731.968</v>
      </c>
      <c r="AH138" s="32">
        <v>57500</v>
      </c>
      <c r="AI138" s="32">
        <f t="shared" si="49"/>
        <v>105396.16399999999</v>
      </c>
    </row>
    <row r="139" spans="1:35" ht="15.75">
      <c r="A139" s="3" t="s">
        <v>100</v>
      </c>
      <c r="B139" s="4" t="s">
        <v>101</v>
      </c>
      <c r="C139" s="3" t="s">
        <v>2</v>
      </c>
      <c r="D139" s="26">
        <v>396.4</v>
      </c>
      <c r="E139" s="19">
        <f t="shared" si="41"/>
        <v>1712.4479999999999</v>
      </c>
      <c r="F139" s="19">
        <f t="shared" si="42"/>
        <v>5660.592</v>
      </c>
      <c r="G139" s="19">
        <f t="shared" si="43"/>
        <v>5613.023999999999</v>
      </c>
      <c r="H139" s="19">
        <f t="shared" si="44"/>
        <v>1236.768</v>
      </c>
      <c r="I139" s="19">
        <f t="shared" si="45"/>
        <v>285.408</v>
      </c>
      <c r="J139" s="19">
        <f t="shared" si="46"/>
        <v>856.2239999999999</v>
      </c>
      <c r="K139" s="19">
        <f>8*8*4+8*6*2</f>
        <v>352</v>
      </c>
      <c r="L139" s="8">
        <f>144.73*3</f>
        <v>434.18999999999994</v>
      </c>
      <c r="M139" s="8"/>
      <c r="N139" s="8"/>
      <c r="O139" s="24">
        <f t="shared" si="36"/>
        <v>1090.1000000000001</v>
      </c>
      <c r="P139" s="32">
        <f t="shared" si="47"/>
        <v>17240.753999999997</v>
      </c>
      <c r="Q139" s="32"/>
      <c r="R139" s="34">
        <f t="shared" si="37"/>
        <v>14627.159999999996</v>
      </c>
      <c r="S139" s="19"/>
      <c r="T139" s="19"/>
      <c r="U139" s="19"/>
      <c r="V139" s="19"/>
      <c r="W139" s="19"/>
      <c r="X139" s="19"/>
      <c r="Y139" s="32">
        <f t="shared" si="48"/>
        <v>0</v>
      </c>
      <c r="Z139" s="32">
        <f t="shared" si="38"/>
        <v>6136.272</v>
      </c>
      <c r="AA139" s="32"/>
      <c r="AB139" s="32">
        <f t="shared" si="32"/>
        <v>2330.832</v>
      </c>
      <c r="AC139" s="34">
        <f t="shared" si="39"/>
        <v>1112.3200000000002</v>
      </c>
      <c r="AD139" s="8"/>
      <c r="AE139" s="8"/>
      <c r="AF139" s="34"/>
      <c r="AG139" s="32">
        <f t="shared" si="40"/>
        <v>5613.023999999999</v>
      </c>
      <c r="AH139" s="32">
        <v>57500</v>
      </c>
      <c r="AI139" s="32">
        <f t="shared" si="49"/>
        <v>104560.362</v>
      </c>
    </row>
    <row r="140" spans="1:35" ht="15.75">
      <c r="A140" s="3" t="s">
        <v>100</v>
      </c>
      <c r="B140" s="4" t="s">
        <v>70</v>
      </c>
      <c r="C140" s="3" t="s">
        <v>2</v>
      </c>
      <c r="D140" s="26">
        <v>386.8</v>
      </c>
      <c r="E140" s="19">
        <f t="shared" si="41"/>
        <v>1670.9759999999999</v>
      </c>
      <c r="F140" s="19">
        <f t="shared" si="42"/>
        <v>5523.504</v>
      </c>
      <c r="G140" s="19">
        <f t="shared" si="43"/>
        <v>5477.088</v>
      </c>
      <c r="H140" s="19">
        <f t="shared" si="44"/>
        <v>1206.8160000000003</v>
      </c>
      <c r="I140" s="19">
        <f t="shared" si="45"/>
        <v>278.496</v>
      </c>
      <c r="J140" s="19">
        <f t="shared" si="46"/>
        <v>835.4879999999999</v>
      </c>
      <c r="K140" s="19">
        <f>8*8*4+8*6*2</f>
        <v>352</v>
      </c>
      <c r="L140" s="8">
        <f>144.73*14</f>
        <v>2026.2199999999998</v>
      </c>
      <c r="M140" s="8"/>
      <c r="N140" s="8"/>
      <c r="O140" s="24">
        <f t="shared" si="36"/>
        <v>1063.7000000000003</v>
      </c>
      <c r="P140" s="32">
        <f t="shared" si="47"/>
        <v>18434.288</v>
      </c>
      <c r="Q140" s="32"/>
      <c r="R140" s="34">
        <f t="shared" si="37"/>
        <v>14272.920000000002</v>
      </c>
      <c r="S140" s="19"/>
      <c r="T140" s="19"/>
      <c r="U140" s="19"/>
      <c r="V140" s="19">
        <f>18*150</f>
        <v>2700</v>
      </c>
      <c r="W140" s="19"/>
      <c r="X140" s="19"/>
      <c r="Y140" s="32">
        <f t="shared" si="48"/>
        <v>2700</v>
      </c>
      <c r="Z140" s="32">
        <f t="shared" si="38"/>
        <v>5987.664000000001</v>
      </c>
      <c r="AA140" s="32"/>
      <c r="AB140" s="32">
        <f t="shared" si="32"/>
        <v>2274.384</v>
      </c>
      <c r="AC140" s="34">
        <f t="shared" si="39"/>
        <v>1085.4400000000003</v>
      </c>
      <c r="AD140" s="8"/>
      <c r="AE140" s="8"/>
      <c r="AF140" s="34"/>
      <c r="AG140" s="32">
        <f t="shared" si="40"/>
        <v>5477.088</v>
      </c>
      <c r="AH140" s="32">
        <v>57500</v>
      </c>
      <c r="AI140" s="32">
        <f t="shared" si="49"/>
        <v>107731.784</v>
      </c>
    </row>
    <row r="141" spans="1:35" ht="15.75">
      <c r="A141" s="3" t="s">
        <v>100</v>
      </c>
      <c r="B141" s="4" t="s">
        <v>64</v>
      </c>
      <c r="C141" s="3" t="s">
        <v>2</v>
      </c>
      <c r="D141" s="26">
        <v>383.5</v>
      </c>
      <c r="E141" s="19">
        <f t="shared" si="41"/>
        <v>1656.72</v>
      </c>
      <c r="F141" s="19">
        <f t="shared" si="42"/>
        <v>5476.379999999999</v>
      </c>
      <c r="G141" s="19">
        <f t="shared" si="43"/>
        <v>5430.36</v>
      </c>
      <c r="H141" s="19">
        <f t="shared" si="44"/>
        <v>1196.52</v>
      </c>
      <c r="I141" s="19">
        <f t="shared" si="45"/>
        <v>276.12</v>
      </c>
      <c r="J141" s="19">
        <f t="shared" si="46"/>
        <v>828.36</v>
      </c>
      <c r="K141" s="19">
        <f>8*8*4+8*6*2</f>
        <v>352</v>
      </c>
      <c r="L141" s="8">
        <f>144.73*14</f>
        <v>2026.2199999999998</v>
      </c>
      <c r="M141" s="8"/>
      <c r="N141" s="8">
        <f>358*20.77</f>
        <v>7435.66</v>
      </c>
      <c r="O141" s="24">
        <f t="shared" si="36"/>
        <v>1054.625</v>
      </c>
      <c r="P141" s="32">
        <f t="shared" si="47"/>
        <v>25732.965</v>
      </c>
      <c r="Q141" s="32"/>
      <c r="R141" s="34">
        <f t="shared" si="37"/>
        <v>14151.15</v>
      </c>
      <c r="S141" s="19"/>
      <c r="T141" s="19"/>
      <c r="U141" s="19"/>
      <c r="V141" s="19">
        <f>12*150</f>
        <v>1800</v>
      </c>
      <c r="W141" s="19"/>
      <c r="X141" s="19"/>
      <c r="Y141" s="32">
        <f t="shared" si="48"/>
        <v>1800</v>
      </c>
      <c r="Z141" s="32">
        <f t="shared" si="38"/>
        <v>5936.58</v>
      </c>
      <c r="AA141" s="32"/>
      <c r="AB141" s="32">
        <f t="shared" si="32"/>
        <v>2254.98</v>
      </c>
      <c r="AC141" s="34">
        <f t="shared" si="39"/>
        <v>1076.2</v>
      </c>
      <c r="AD141" s="8"/>
      <c r="AE141" s="8"/>
      <c r="AF141" s="34"/>
      <c r="AG141" s="32">
        <f t="shared" si="40"/>
        <v>5430.36</v>
      </c>
      <c r="AH141" s="32">
        <v>57500</v>
      </c>
      <c r="AI141" s="32">
        <f t="shared" si="49"/>
        <v>113882.235</v>
      </c>
    </row>
    <row r="142" spans="1:35" ht="15.75">
      <c r="A142" s="3" t="s">
        <v>100</v>
      </c>
      <c r="B142" s="4" t="s">
        <v>71</v>
      </c>
      <c r="C142" s="3" t="s">
        <v>2</v>
      </c>
      <c r="D142" s="26">
        <v>3209.3</v>
      </c>
      <c r="E142" s="19">
        <f t="shared" si="41"/>
        <v>13864.176</v>
      </c>
      <c r="F142" s="19">
        <f t="shared" si="42"/>
        <v>45828.804000000004</v>
      </c>
      <c r="G142" s="19">
        <f t="shared" si="43"/>
        <v>45443.688</v>
      </c>
      <c r="H142" s="19">
        <f t="shared" si="44"/>
        <v>10013.016000000001</v>
      </c>
      <c r="I142" s="19">
        <f t="shared" si="45"/>
        <v>2310.696</v>
      </c>
      <c r="J142" s="19">
        <f t="shared" si="46"/>
        <v>6932.088</v>
      </c>
      <c r="K142" s="19">
        <f>80*8*4+80*6*2</f>
        <v>3520</v>
      </c>
      <c r="L142" s="8">
        <f>144.73*2</f>
        <v>289.46</v>
      </c>
      <c r="M142" s="8"/>
      <c r="N142" s="8"/>
      <c r="O142" s="24">
        <f t="shared" si="36"/>
        <v>8825.575</v>
      </c>
      <c r="P142" s="32">
        <f t="shared" si="47"/>
        <v>137027.50300000003</v>
      </c>
      <c r="Q142" s="32">
        <f>D142*1.27*5+D142*1.34*7</f>
        <v>50482.289000000004</v>
      </c>
      <c r="R142" s="34">
        <f t="shared" si="37"/>
        <v>118423.17000000001</v>
      </c>
      <c r="S142" s="19"/>
      <c r="T142" s="19"/>
      <c r="U142" s="19"/>
      <c r="V142" s="19"/>
      <c r="W142" s="19"/>
      <c r="X142" s="19"/>
      <c r="Y142" s="32">
        <f t="shared" si="48"/>
        <v>0</v>
      </c>
      <c r="Z142" s="32">
        <f t="shared" si="38"/>
        <v>49679.96400000001</v>
      </c>
      <c r="AA142" s="32"/>
      <c r="AB142" s="32">
        <f t="shared" si="32"/>
        <v>18870.684</v>
      </c>
      <c r="AC142" s="34">
        <f t="shared" si="39"/>
        <v>8988.44</v>
      </c>
      <c r="AD142" s="8"/>
      <c r="AE142" s="8"/>
      <c r="AF142" s="34"/>
      <c r="AG142" s="32">
        <f t="shared" si="40"/>
        <v>45443.688</v>
      </c>
      <c r="AH142" s="32">
        <v>57500</v>
      </c>
      <c r="AI142" s="32">
        <f t="shared" si="49"/>
        <v>486415.7380000001</v>
      </c>
    </row>
    <row r="143" spans="1:35" ht="15.75">
      <c r="A143" s="3" t="s">
        <v>102</v>
      </c>
      <c r="B143" s="4" t="s">
        <v>103</v>
      </c>
      <c r="C143" s="3" t="s">
        <v>2</v>
      </c>
      <c r="D143" s="26">
        <v>1317.6</v>
      </c>
      <c r="E143" s="19">
        <f t="shared" si="41"/>
        <v>5692.031999999999</v>
      </c>
      <c r="F143" s="19">
        <f t="shared" si="42"/>
        <v>18815.327999999998</v>
      </c>
      <c r="G143" s="19">
        <f t="shared" si="43"/>
        <v>18657.215999999997</v>
      </c>
      <c r="H143" s="19">
        <f t="shared" si="44"/>
        <v>4110.911999999999</v>
      </c>
      <c r="I143" s="19">
        <f t="shared" si="45"/>
        <v>948.672</v>
      </c>
      <c r="J143" s="19">
        <f t="shared" si="46"/>
        <v>2846.0159999999996</v>
      </c>
      <c r="K143" s="19">
        <f>18*8*4+18*6*2</f>
        <v>792</v>
      </c>
      <c r="L143" s="8"/>
      <c r="M143" s="8"/>
      <c r="N143" s="8"/>
      <c r="O143" s="24">
        <f t="shared" si="36"/>
        <v>3623.4000000000005</v>
      </c>
      <c r="P143" s="32">
        <f t="shared" si="47"/>
        <v>55485.575999999994</v>
      </c>
      <c r="Q143" s="32"/>
      <c r="R143" s="34">
        <f t="shared" si="37"/>
        <v>48619.44</v>
      </c>
      <c r="S143" s="19"/>
      <c r="T143" s="19"/>
      <c r="U143" s="19"/>
      <c r="V143" s="19"/>
      <c r="W143" s="19"/>
      <c r="X143" s="19"/>
      <c r="Y143" s="32">
        <f t="shared" si="48"/>
        <v>0</v>
      </c>
      <c r="Z143" s="32">
        <f t="shared" si="38"/>
        <v>20396.448</v>
      </c>
      <c r="AA143" s="32"/>
      <c r="AB143" s="32">
        <f t="shared" si="32"/>
        <v>7747.487999999999</v>
      </c>
      <c r="AC143" s="34">
        <f t="shared" si="39"/>
        <v>3691.68</v>
      </c>
      <c r="AD143" s="8"/>
      <c r="AE143" s="8"/>
      <c r="AF143" s="34"/>
      <c r="AG143" s="32">
        <f t="shared" si="40"/>
        <v>18657.215999999997</v>
      </c>
      <c r="AH143" s="32">
        <v>57500</v>
      </c>
      <c r="AI143" s="32">
        <f t="shared" si="49"/>
        <v>212097.848</v>
      </c>
    </row>
    <row r="144" spans="1:35" ht="15.75">
      <c r="A144" s="3" t="s">
        <v>102</v>
      </c>
      <c r="B144" s="4" t="s">
        <v>31</v>
      </c>
      <c r="C144" s="3" t="s">
        <v>2</v>
      </c>
      <c r="D144" s="29">
        <v>375.7</v>
      </c>
      <c r="E144" s="19">
        <f t="shared" si="41"/>
        <v>1623.024</v>
      </c>
      <c r="F144" s="19">
        <f t="shared" si="42"/>
        <v>5364.995999999999</v>
      </c>
      <c r="G144" s="19">
        <f t="shared" si="43"/>
        <v>5319.911999999999</v>
      </c>
      <c r="H144" s="19">
        <f t="shared" si="44"/>
        <v>1172.184</v>
      </c>
      <c r="I144" s="19">
        <f t="shared" si="45"/>
        <v>270.50399999999996</v>
      </c>
      <c r="J144" s="19">
        <f t="shared" si="46"/>
        <v>811.512</v>
      </c>
      <c r="K144" s="19">
        <f>8*6*2</f>
        <v>96</v>
      </c>
      <c r="L144" s="8"/>
      <c r="M144" s="8"/>
      <c r="N144" s="8"/>
      <c r="O144" s="24">
        <f t="shared" si="36"/>
        <v>1033.1750000000002</v>
      </c>
      <c r="P144" s="32">
        <f t="shared" si="47"/>
        <v>15691.306999999997</v>
      </c>
      <c r="Q144" s="32"/>
      <c r="R144" s="34">
        <f t="shared" si="37"/>
        <v>13863.33</v>
      </c>
      <c r="S144" s="19"/>
      <c r="T144" s="19"/>
      <c r="U144" s="19"/>
      <c r="V144" s="19"/>
      <c r="W144" s="19"/>
      <c r="X144" s="19"/>
      <c r="Y144" s="32">
        <f t="shared" si="48"/>
        <v>0</v>
      </c>
      <c r="Z144" s="32">
        <f t="shared" si="38"/>
        <v>5815.836</v>
      </c>
      <c r="AA144" s="32"/>
      <c r="AB144" s="32">
        <f t="shared" si="32"/>
        <v>2209.116</v>
      </c>
      <c r="AC144" s="34">
        <f t="shared" si="39"/>
        <v>1054.3600000000001</v>
      </c>
      <c r="AD144" s="8"/>
      <c r="AE144" s="8"/>
      <c r="AF144" s="34"/>
      <c r="AG144" s="32">
        <f t="shared" si="40"/>
        <v>5319.911999999999</v>
      </c>
      <c r="AH144" s="32"/>
      <c r="AI144" s="32">
        <f t="shared" si="49"/>
        <v>43953.861</v>
      </c>
    </row>
    <row r="145" spans="1:35" ht="15.75">
      <c r="A145" s="3" t="s">
        <v>102</v>
      </c>
      <c r="B145" s="4" t="s">
        <v>37</v>
      </c>
      <c r="C145" s="3" t="s">
        <v>2</v>
      </c>
      <c r="D145" s="26">
        <v>5718.8</v>
      </c>
      <c r="E145" s="19">
        <f t="shared" si="41"/>
        <v>24705.216</v>
      </c>
      <c r="F145" s="19">
        <f t="shared" si="42"/>
        <v>81664.464</v>
      </c>
      <c r="G145" s="19">
        <f t="shared" si="43"/>
        <v>80978.208</v>
      </c>
      <c r="H145" s="19">
        <f t="shared" si="44"/>
        <v>17842.656000000003</v>
      </c>
      <c r="I145" s="19">
        <f t="shared" si="45"/>
        <v>4117.536</v>
      </c>
      <c r="J145" s="19">
        <f t="shared" si="46"/>
        <v>12352.608</v>
      </c>
      <c r="K145" s="19">
        <f>133*6*2</f>
        <v>1596</v>
      </c>
      <c r="L145" s="8">
        <f>144.73*3</f>
        <v>434.18999999999994</v>
      </c>
      <c r="M145" s="8"/>
      <c r="N145" s="8"/>
      <c r="O145" s="24">
        <f t="shared" si="36"/>
        <v>15726.7</v>
      </c>
      <c r="P145" s="32">
        <f t="shared" si="47"/>
        <v>239417.578</v>
      </c>
      <c r="Q145" s="32">
        <f>D145*1.27*5+D145*1.34*7</f>
        <v>89956.72400000002</v>
      </c>
      <c r="R145" s="34">
        <f t="shared" si="37"/>
        <v>211023.72000000003</v>
      </c>
      <c r="S145" s="19"/>
      <c r="T145" s="19"/>
      <c r="U145" s="19"/>
      <c r="V145" s="19"/>
      <c r="W145" s="19"/>
      <c r="X145" s="19"/>
      <c r="Y145" s="32">
        <f t="shared" si="48"/>
        <v>0</v>
      </c>
      <c r="Z145" s="32">
        <f t="shared" si="38"/>
        <v>88527.024</v>
      </c>
      <c r="AA145" s="32"/>
      <c r="AB145" s="32">
        <f t="shared" si="32"/>
        <v>33626.544</v>
      </c>
      <c r="AC145" s="34">
        <f t="shared" si="39"/>
        <v>16015.039999999999</v>
      </c>
      <c r="AD145" s="8"/>
      <c r="AE145" s="8"/>
      <c r="AF145" s="34"/>
      <c r="AG145" s="32">
        <f t="shared" si="40"/>
        <v>80978.208</v>
      </c>
      <c r="AH145" s="32">
        <v>57500</v>
      </c>
      <c r="AI145" s="32">
        <f t="shared" si="49"/>
        <v>817044.8380000001</v>
      </c>
    </row>
    <row r="146" spans="1:35" ht="15.75">
      <c r="A146" s="3" t="s">
        <v>102</v>
      </c>
      <c r="B146" s="4" t="s">
        <v>104</v>
      </c>
      <c r="C146" s="3" t="s">
        <v>2</v>
      </c>
      <c r="D146" s="26">
        <v>1039.6</v>
      </c>
      <c r="E146" s="19">
        <f t="shared" si="41"/>
        <v>4491.072</v>
      </c>
      <c r="F146" s="19">
        <f t="shared" si="42"/>
        <v>14845.487999999998</v>
      </c>
      <c r="G146" s="19">
        <f t="shared" si="43"/>
        <v>14720.735999999997</v>
      </c>
      <c r="H146" s="19">
        <f t="shared" si="44"/>
        <v>3243.5519999999997</v>
      </c>
      <c r="I146" s="19">
        <f t="shared" si="45"/>
        <v>748.512</v>
      </c>
      <c r="J146" s="19">
        <f t="shared" si="46"/>
        <v>2245.536</v>
      </c>
      <c r="K146" s="19">
        <f>16*8*4+16*6*2</f>
        <v>704</v>
      </c>
      <c r="L146" s="8"/>
      <c r="M146" s="8"/>
      <c r="N146" s="8">
        <f>1124*20.77</f>
        <v>23345.48</v>
      </c>
      <c r="O146" s="24">
        <f t="shared" si="36"/>
        <v>2858.8999999999996</v>
      </c>
      <c r="P146" s="32">
        <f t="shared" si="47"/>
        <v>67203.276</v>
      </c>
      <c r="Q146" s="32"/>
      <c r="R146" s="34">
        <f t="shared" si="37"/>
        <v>38361.24</v>
      </c>
      <c r="S146" s="19"/>
      <c r="T146" s="19"/>
      <c r="U146" s="19"/>
      <c r="V146" s="19"/>
      <c r="W146" s="19"/>
      <c r="X146" s="19"/>
      <c r="Y146" s="32">
        <f t="shared" si="48"/>
        <v>0</v>
      </c>
      <c r="Z146" s="32">
        <f t="shared" si="38"/>
        <v>16093.007999999998</v>
      </c>
      <c r="AA146" s="32"/>
      <c r="AB146" s="32">
        <f t="shared" si="32"/>
        <v>6112.847999999999</v>
      </c>
      <c r="AC146" s="34">
        <f t="shared" si="39"/>
        <v>2913.2799999999997</v>
      </c>
      <c r="AD146" s="8"/>
      <c r="AE146" s="8"/>
      <c r="AF146" s="34"/>
      <c r="AG146" s="32">
        <f t="shared" si="40"/>
        <v>14720.735999999997</v>
      </c>
      <c r="AH146" s="32"/>
      <c r="AI146" s="32">
        <f t="shared" si="49"/>
        <v>145404.388</v>
      </c>
    </row>
    <row r="147" spans="1:35" ht="15.75">
      <c r="A147" s="3" t="s">
        <v>102</v>
      </c>
      <c r="B147" s="4" t="s">
        <v>72</v>
      </c>
      <c r="C147" s="3" t="s">
        <v>2</v>
      </c>
      <c r="D147" s="26">
        <v>399.7</v>
      </c>
      <c r="E147" s="19">
        <f t="shared" si="41"/>
        <v>1726.704</v>
      </c>
      <c r="F147" s="19">
        <f t="shared" si="42"/>
        <v>5707.715999999999</v>
      </c>
      <c r="G147" s="19">
        <f t="shared" si="43"/>
        <v>5659.7519999999995</v>
      </c>
      <c r="H147" s="19">
        <f t="shared" si="44"/>
        <v>1247.0639999999999</v>
      </c>
      <c r="I147" s="19">
        <f t="shared" si="45"/>
        <v>287.784</v>
      </c>
      <c r="J147" s="19">
        <f t="shared" si="46"/>
        <v>863.352</v>
      </c>
      <c r="K147" s="19">
        <f>8*230</f>
        <v>1840</v>
      </c>
      <c r="L147" s="8"/>
      <c r="M147" s="8"/>
      <c r="N147" s="8"/>
      <c r="O147" s="24">
        <f t="shared" si="36"/>
        <v>1099.175</v>
      </c>
      <c r="P147" s="32">
        <f t="shared" si="47"/>
        <v>18431.547</v>
      </c>
      <c r="Q147" s="32"/>
      <c r="R147" s="34">
        <f t="shared" si="37"/>
        <v>14748.93</v>
      </c>
      <c r="S147" s="19"/>
      <c r="T147" s="19"/>
      <c r="U147" s="19"/>
      <c r="V147" s="19"/>
      <c r="W147" s="19"/>
      <c r="X147" s="19"/>
      <c r="Y147" s="32">
        <f t="shared" si="48"/>
        <v>0</v>
      </c>
      <c r="Z147" s="32">
        <f t="shared" si="38"/>
        <v>6187.356000000001</v>
      </c>
      <c r="AA147" s="32"/>
      <c r="AB147" s="32">
        <f t="shared" si="32"/>
        <v>2350.236</v>
      </c>
      <c r="AC147" s="34">
        <f t="shared" si="39"/>
        <v>1121.56</v>
      </c>
      <c r="AD147" s="8"/>
      <c r="AE147" s="8"/>
      <c r="AF147" s="34"/>
      <c r="AG147" s="32">
        <f t="shared" si="40"/>
        <v>5659.7519999999995</v>
      </c>
      <c r="AH147" s="32"/>
      <c r="AI147" s="32">
        <f t="shared" si="49"/>
        <v>48499.380999999994</v>
      </c>
    </row>
    <row r="148" spans="1:35" ht="15.75">
      <c r="A148" s="3" t="s">
        <v>102</v>
      </c>
      <c r="B148" s="4" t="s">
        <v>105</v>
      </c>
      <c r="C148" s="3" t="s">
        <v>2</v>
      </c>
      <c r="D148" s="29">
        <v>280.9</v>
      </c>
      <c r="E148" s="19">
        <f t="shared" si="41"/>
        <v>1213.4879999999998</v>
      </c>
      <c r="F148" s="19">
        <f t="shared" si="42"/>
        <v>4011.2519999999995</v>
      </c>
      <c r="G148" s="19">
        <f t="shared" si="43"/>
        <v>3977.543999999999</v>
      </c>
      <c r="H148" s="19">
        <f t="shared" si="44"/>
        <v>876.4079999999999</v>
      </c>
      <c r="I148" s="19">
        <f t="shared" si="45"/>
        <v>202.248</v>
      </c>
      <c r="J148" s="19">
        <f t="shared" si="46"/>
        <v>606.7439999999999</v>
      </c>
      <c r="K148" s="19">
        <f>5*230</f>
        <v>1150</v>
      </c>
      <c r="L148" s="8"/>
      <c r="M148" s="8"/>
      <c r="N148" s="8"/>
      <c r="O148" s="24">
        <f t="shared" si="36"/>
        <v>772.475</v>
      </c>
      <c r="P148" s="32">
        <f t="shared" si="47"/>
        <v>12810.159</v>
      </c>
      <c r="Q148" s="32"/>
      <c r="R148" s="34">
        <f t="shared" si="37"/>
        <v>10365.21</v>
      </c>
      <c r="S148" s="19"/>
      <c r="T148" s="19"/>
      <c r="U148" s="19"/>
      <c r="V148" s="19"/>
      <c r="W148" s="19"/>
      <c r="X148" s="19"/>
      <c r="Y148" s="32">
        <f t="shared" si="48"/>
        <v>0</v>
      </c>
      <c r="Z148" s="32">
        <f t="shared" si="38"/>
        <v>4348.332</v>
      </c>
      <c r="AA148" s="32"/>
      <c r="AB148" s="32">
        <f t="shared" si="32"/>
        <v>1651.692</v>
      </c>
      <c r="AC148" s="34">
        <f t="shared" si="39"/>
        <v>788.92</v>
      </c>
      <c r="AD148" s="8"/>
      <c r="AE148" s="8"/>
      <c r="AF148" s="34"/>
      <c r="AG148" s="32">
        <f t="shared" si="40"/>
        <v>3977.543999999999</v>
      </c>
      <c r="AH148" s="32"/>
      <c r="AI148" s="32">
        <f t="shared" si="49"/>
        <v>33941.856999999996</v>
      </c>
    </row>
    <row r="149" spans="1:35" ht="15.75">
      <c r="A149" s="5" t="s">
        <v>106</v>
      </c>
      <c r="B149" s="5" t="s">
        <v>70</v>
      </c>
      <c r="C149" s="3" t="s">
        <v>2</v>
      </c>
      <c r="D149" s="29">
        <v>129.7</v>
      </c>
      <c r="E149" s="19">
        <f t="shared" si="41"/>
        <v>560.3039999999999</v>
      </c>
      <c r="F149" s="19">
        <f t="shared" si="42"/>
        <v>1852.116</v>
      </c>
      <c r="G149" s="19">
        <f t="shared" si="43"/>
        <v>1836.552</v>
      </c>
      <c r="H149" s="19">
        <f t="shared" si="44"/>
        <v>404.664</v>
      </c>
      <c r="I149" s="19">
        <f t="shared" si="45"/>
        <v>93.38399999999999</v>
      </c>
      <c r="J149" s="19">
        <f t="shared" si="46"/>
        <v>280.15199999999993</v>
      </c>
      <c r="K149" s="19">
        <f>3*6*2</f>
        <v>36</v>
      </c>
      <c r="L149" s="8"/>
      <c r="M149" s="8"/>
      <c r="N149" s="8"/>
      <c r="O149" s="24">
        <f t="shared" si="36"/>
        <v>356.67499999999995</v>
      </c>
      <c r="P149" s="32">
        <f t="shared" si="47"/>
        <v>5419.847</v>
      </c>
      <c r="Q149" s="32"/>
      <c r="R149" s="34">
        <f t="shared" si="37"/>
        <v>4785.93</v>
      </c>
      <c r="S149" s="19"/>
      <c r="T149" s="19"/>
      <c r="U149" s="19"/>
      <c r="V149" s="19"/>
      <c r="W149" s="19"/>
      <c r="X149" s="19"/>
      <c r="Y149" s="32">
        <f t="shared" si="48"/>
        <v>0</v>
      </c>
      <c r="Z149" s="32">
        <f t="shared" si="38"/>
        <v>2007.7559999999999</v>
      </c>
      <c r="AA149" s="32"/>
      <c r="AB149" s="32">
        <f t="shared" si="32"/>
        <v>762.6359999999999</v>
      </c>
      <c r="AC149" s="34">
        <f t="shared" si="39"/>
        <v>365.55999999999995</v>
      </c>
      <c r="AD149" s="8"/>
      <c r="AE149" s="8"/>
      <c r="AF149" s="34"/>
      <c r="AG149" s="32">
        <f t="shared" si="40"/>
        <v>1836.552</v>
      </c>
      <c r="AH149" s="32"/>
      <c r="AI149" s="32">
        <f t="shared" si="49"/>
        <v>15178.280999999999</v>
      </c>
    </row>
    <row r="150" spans="1:35" ht="15.75">
      <c r="A150" s="3" t="s">
        <v>106</v>
      </c>
      <c r="B150" s="4" t="s">
        <v>65</v>
      </c>
      <c r="C150" s="3" t="s">
        <v>2</v>
      </c>
      <c r="D150" s="29">
        <v>178.3</v>
      </c>
      <c r="E150" s="19">
        <f t="shared" si="41"/>
        <v>770.2560000000001</v>
      </c>
      <c r="F150" s="19">
        <f t="shared" si="42"/>
        <v>2546.124</v>
      </c>
      <c r="G150" s="19">
        <f t="shared" si="43"/>
        <v>2524.728</v>
      </c>
      <c r="H150" s="19">
        <f t="shared" si="44"/>
        <v>556.296</v>
      </c>
      <c r="I150" s="19">
        <f t="shared" si="45"/>
        <v>128.376</v>
      </c>
      <c r="J150" s="19">
        <f t="shared" si="46"/>
        <v>385.12800000000004</v>
      </c>
      <c r="K150" s="19">
        <f>4*6*2</f>
        <v>48</v>
      </c>
      <c r="L150" s="8"/>
      <c r="M150" s="8"/>
      <c r="N150" s="8"/>
      <c r="O150" s="24">
        <f t="shared" si="36"/>
        <v>490.32500000000005</v>
      </c>
      <c r="P150" s="32">
        <f t="shared" si="47"/>
        <v>7449.233</v>
      </c>
      <c r="Q150" s="32"/>
      <c r="R150" s="34">
        <f t="shared" si="37"/>
        <v>6579.27</v>
      </c>
      <c r="S150" s="19"/>
      <c r="T150" s="19"/>
      <c r="U150" s="19"/>
      <c r="V150" s="19"/>
      <c r="W150" s="19"/>
      <c r="X150" s="19"/>
      <c r="Y150" s="32">
        <f t="shared" si="48"/>
        <v>0</v>
      </c>
      <c r="Z150" s="32">
        <f t="shared" si="38"/>
        <v>2760.0840000000003</v>
      </c>
      <c r="AA150" s="32"/>
      <c r="AB150" s="32">
        <f t="shared" si="32"/>
        <v>1048.404</v>
      </c>
      <c r="AC150" s="34">
        <f t="shared" si="39"/>
        <v>501.64000000000004</v>
      </c>
      <c r="AD150" s="8"/>
      <c r="AE150" s="8"/>
      <c r="AF150" s="34"/>
      <c r="AG150" s="32">
        <f t="shared" si="40"/>
        <v>2524.728</v>
      </c>
      <c r="AH150" s="32"/>
      <c r="AI150" s="32">
        <f t="shared" si="49"/>
        <v>20863.358999999997</v>
      </c>
    </row>
    <row r="151" spans="1:35" ht="15.75">
      <c r="A151" s="5" t="s">
        <v>106</v>
      </c>
      <c r="B151" s="5" t="s">
        <v>107</v>
      </c>
      <c r="C151" s="3" t="s">
        <v>2</v>
      </c>
      <c r="D151" s="29">
        <v>202.5</v>
      </c>
      <c r="E151" s="19">
        <f t="shared" si="41"/>
        <v>874.8</v>
      </c>
      <c r="F151" s="19">
        <f t="shared" si="42"/>
        <v>2891.7</v>
      </c>
      <c r="G151" s="19">
        <f t="shared" si="43"/>
        <v>2867.3999999999996</v>
      </c>
      <c r="H151" s="19">
        <f t="shared" si="44"/>
        <v>631.8</v>
      </c>
      <c r="I151" s="19">
        <f t="shared" si="45"/>
        <v>145.8</v>
      </c>
      <c r="J151" s="19">
        <f t="shared" si="46"/>
        <v>437.4</v>
      </c>
      <c r="K151" s="19">
        <f>6*230</f>
        <v>1380</v>
      </c>
      <c r="L151" s="8"/>
      <c r="M151" s="8"/>
      <c r="N151" s="8"/>
      <c r="O151" s="24">
        <f t="shared" si="36"/>
        <v>556.8750000000001</v>
      </c>
      <c r="P151" s="32">
        <f t="shared" si="47"/>
        <v>9785.775</v>
      </c>
      <c r="Q151" s="32"/>
      <c r="R151" s="34">
        <f t="shared" si="37"/>
        <v>7472.25</v>
      </c>
      <c r="S151" s="19"/>
      <c r="T151" s="19"/>
      <c r="U151" s="19"/>
      <c r="V151" s="19"/>
      <c r="W151" s="19"/>
      <c r="X151" s="19"/>
      <c r="Y151" s="32">
        <f t="shared" si="48"/>
        <v>0</v>
      </c>
      <c r="Z151" s="32">
        <f t="shared" si="38"/>
        <v>3134.7000000000003</v>
      </c>
      <c r="AA151" s="32"/>
      <c r="AB151" s="32">
        <f t="shared" si="32"/>
        <v>1190.6999999999998</v>
      </c>
      <c r="AC151" s="34">
        <f t="shared" si="39"/>
        <v>569.4</v>
      </c>
      <c r="AD151" s="8"/>
      <c r="AE151" s="8"/>
      <c r="AF151" s="34"/>
      <c r="AG151" s="32">
        <f t="shared" si="40"/>
        <v>2867.3999999999996</v>
      </c>
      <c r="AH151" s="32"/>
      <c r="AI151" s="32">
        <f t="shared" si="49"/>
        <v>25020.225000000006</v>
      </c>
    </row>
    <row r="152" spans="1:35" ht="15.75">
      <c r="A152" s="3" t="s">
        <v>106</v>
      </c>
      <c r="B152" s="4" t="s">
        <v>108</v>
      </c>
      <c r="C152" s="3" t="s">
        <v>2</v>
      </c>
      <c r="D152" s="26">
        <v>640.3</v>
      </c>
      <c r="E152" s="19">
        <f t="shared" si="41"/>
        <v>2766.0959999999995</v>
      </c>
      <c r="F152" s="19">
        <f t="shared" si="42"/>
        <v>9143.483999999999</v>
      </c>
      <c r="G152" s="19">
        <f t="shared" si="43"/>
        <v>9066.647999999997</v>
      </c>
      <c r="H152" s="19">
        <f t="shared" si="44"/>
        <v>1997.7359999999999</v>
      </c>
      <c r="I152" s="19">
        <f t="shared" si="45"/>
        <v>461.01599999999996</v>
      </c>
      <c r="J152" s="19">
        <f t="shared" si="46"/>
        <v>1383.0479999999998</v>
      </c>
      <c r="K152" s="19">
        <f>16*8*4+16*6*2</f>
        <v>704</v>
      </c>
      <c r="L152" s="8">
        <f>144.73*22</f>
        <v>3184.06</v>
      </c>
      <c r="M152" s="8"/>
      <c r="N152" s="8"/>
      <c r="O152" s="24">
        <f t="shared" si="36"/>
        <v>1760.825</v>
      </c>
      <c r="P152" s="32">
        <f t="shared" si="47"/>
        <v>30466.912999999997</v>
      </c>
      <c r="Q152" s="32"/>
      <c r="R152" s="34">
        <f t="shared" si="37"/>
        <v>23627.07</v>
      </c>
      <c r="S152" s="19">
        <f>120*700</f>
        <v>84000</v>
      </c>
      <c r="T152" s="19"/>
      <c r="U152" s="19"/>
      <c r="V152" s="19"/>
      <c r="W152" s="19"/>
      <c r="X152" s="19"/>
      <c r="Y152" s="32">
        <f t="shared" si="48"/>
        <v>84000</v>
      </c>
      <c r="Z152" s="32">
        <f t="shared" si="38"/>
        <v>9911.844</v>
      </c>
      <c r="AA152" s="32"/>
      <c r="AB152" s="32">
        <f t="shared" si="32"/>
        <v>3764.9639999999995</v>
      </c>
      <c r="AC152" s="34">
        <f t="shared" si="39"/>
        <v>1795.2400000000002</v>
      </c>
      <c r="AD152" s="8"/>
      <c r="AE152" s="8"/>
      <c r="AF152" s="34"/>
      <c r="AG152" s="32">
        <f t="shared" si="40"/>
        <v>9066.647999999997</v>
      </c>
      <c r="AH152" s="32">
        <v>57500</v>
      </c>
      <c r="AI152" s="32">
        <f t="shared" si="49"/>
        <v>220132.679</v>
      </c>
    </row>
    <row r="153" spans="1:35" ht="15.75">
      <c r="A153" s="3" t="s">
        <v>106</v>
      </c>
      <c r="B153" s="4" t="s">
        <v>109</v>
      </c>
      <c r="C153" s="3" t="s">
        <v>2</v>
      </c>
      <c r="D153" s="26">
        <v>636.1</v>
      </c>
      <c r="E153" s="19">
        <f t="shared" si="41"/>
        <v>2747.952</v>
      </c>
      <c r="F153" s="19">
        <f t="shared" si="42"/>
        <v>9083.508</v>
      </c>
      <c r="G153" s="19">
        <f t="shared" si="43"/>
        <v>9007.176</v>
      </c>
      <c r="H153" s="19">
        <f t="shared" si="44"/>
        <v>1984.6320000000003</v>
      </c>
      <c r="I153" s="19">
        <f t="shared" si="45"/>
        <v>457.99199999999996</v>
      </c>
      <c r="J153" s="19">
        <f t="shared" si="46"/>
        <v>1373.976</v>
      </c>
      <c r="K153" s="19">
        <f>16*8*4+16*6*2</f>
        <v>704</v>
      </c>
      <c r="L153" s="8">
        <f>144.73*22</f>
        <v>3184.06</v>
      </c>
      <c r="M153" s="8"/>
      <c r="N153" s="8">
        <f>570*20.77</f>
        <v>11838.9</v>
      </c>
      <c r="O153" s="24">
        <f t="shared" si="36"/>
        <v>1749.275</v>
      </c>
      <c r="P153" s="32">
        <f t="shared" si="47"/>
        <v>42131.471</v>
      </c>
      <c r="Q153" s="32"/>
      <c r="R153" s="34">
        <f t="shared" si="37"/>
        <v>23472.090000000004</v>
      </c>
      <c r="S153" s="19">
        <f>141*700</f>
        <v>98700</v>
      </c>
      <c r="T153" s="19"/>
      <c r="U153" s="19"/>
      <c r="V153" s="19"/>
      <c r="W153" s="19">
        <f>4*220</f>
        <v>880</v>
      </c>
      <c r="X153" s="19"/>
      <c r="Y153" s="32">
        <f t="shared" si="48"/>
        <v>99580</v>
      </c>
      <c r="Z153" s="32">
        <f t="shared" si="38"/>
        <v>9846.828000000001</v>
      </c>
      <c r="AA153" s="32"/>
      <c r="AB153" s="32">
        <f t="shared" si="32"/>
        <v>3740.268</v>
      </c>
      <c r="AC153" s="34">
        <f t="shared" si="39"/>
        <v>1783.4800000000002</v>
      </c>
      <c r="AD153" s="8"/>
      <c r="AE153" s="8"/>
      <c r="AF153" s="34"/>
      <c r="AG153" s="32">
        <f t="shared" si="40"/>
        <v>9007.176</v>
      </c>
      <c r="AH153" s="32">
        <v>57500</v>
      </c>
      <c r="AI153" s="32">
        <f t="shared" si="49"/>
        <v>247061.31300000002</v>
      </c>
    </row>
    <row r="154" spans="1:35" ht="15.75">
      <c r="A154" s="3" t="s">
        <v>110</v>
      </c>
      <c r="B154" s="4" t="s">
        <v>1</v>
      </c>
      <c r="C154" s="3" t="s">
        <v>2</v>
      </c>
      <c r="D154" s="26">
        <v>3430</v>
      </c>
      <c r="E154" s="19">
        <f t="shared" si="41"/>
        <v>14817.599999999999</v>
      </c>
      <c r="F154" s="19">
        <f t="shared" si="42"/>
        <v>48980.399999999994</v>
      </c>
      <c r="G154" s="19">
        <f t="shared" si="43"/>
        <v>48568.799999999996</v>
      </c>
      <c r="H154" s="19">
        <f t="shared" si="44"/>
        <v>10701.6</v>
      </c>
      <c r="I154" s="19">
        <f t="shared" si="45"/>
        <v>2469.6</v>
      </c>
      <c r="J154" s="19">
        <f t="shared" si="46"/>
        <v>7408.799999999999</v>
      </c>
      <c r="K154" s="19">
        <f>75*6*2</f>
        <v>900</v>
      </c>
      <c r="L154" s="8">
        <f>144.73*3</f>
        <v>434.18999999999994</v>
      </c>
      <c r="M154" s="8"/>
      <c r="N154" s="8"/>
      <c r="O154" s="24">
        <f t="shared" si="36"/>
        <v>9432.500000000002</v>
      </c>
      <c r="P154" s="32">
        <f t="shared" si="47"/>
        <v>143713.49</v>
      </c>
      <c r="Q154" s="32">
        <f>D154*1.27*5+D154*1.34*7</f>
        <v>53953.90000000001</v>
      </c>
      <c r="R154" s="34">
        <f t="shared" si="37"/>
        <v>126567</v>
      </c>
      <c r="S154" s="19"/>
      <c r="T154" s="19">
        <v>125730.01</v>
      </c>
      <c r="U154" s="19"/>
      <c r="V154" s="19"/>
      <c r="W154" s="19"/>
      <c r="X154" s="19"/>
      <c r="Y154" s="32">
        <f t="shared" si="48"/>
        <v>125730.01</v>
      </c>
      <c r="Z154" s="32">
        <f t="shared" si="38"/>
        <v>53096.399999999994</v>
      </c>
      <c r="AA154" s="32"/>
      <c r="AB154" s="32">
        <f t="shared" si="32"/>
        <v>20168.4</v>
      </c>
      <c r="AC154" s="34">
        <f t="shared" si="39"/>
        <v>9606.4</v>
      </c>
      <c r="AD154" s="8"/>
      <c r="AE154" s="8"/>
      <c r="AF154" s="34"/>
      <c r="AG154" s="32">
        <f t="shared" si="40"/>
        <v>48568.799999999996</v>
      </c>
      <c r="AH154" s="32">
        <v>57500</v>
      </c>
      <c r="AI154" s="32">
        <f t="shared" si="49"/>
        <v>638904.4000000001</v>
      </c>
    </row>
    <row r="155" spans="1:35" ht="15.75">
      <c r="A155" s="3" t="s">
        <v>110</v>
      </c>
      <c r="B155" s="4" t="s">
        <v>1</v>
      </c>
      <c r="C155" s="3" t="s">
        <v>111</v>
      </c>
      <c r="D155" s="26">
        <v>3452.8</v>
      </c>
      <c r="E155" s="19">
        <f t="shared" si="41"/>
        <v>14916.096000000001</v>
      </c>
      <c r="F155" s="19">
        <f t="shared" si="42"/>
        <v>49305.984000000004</v>
      </c>
      <c r="G155" s="19">
        <f t="shared" si="43"/>
        <v>48891.648</v>
      </c>
      <c r="H155" s="19">
        <f t="shared" si="44"/>
        <v>10772.736</v>
      </c>
      <c r="I155" s="19">
        <f t="shared" si="45"/>
        <v>2486.016</v>
      </c>
      <c r="J155" s="19">
        <f t="shared" si="46"/>
        <v>7458.048000000001</v>
      </c>
      <c r="K155" s="19">
        <f>75*6*2</f>
        <v>900</v>
      </c>
      <c r="L155" s="8">
        <f>144.73*3</f>
        <v>434.18999999999994</v>
      </c>
      <c r="M155" s="8"/>
      <c r="N155" s="8"/>
      <c r="O155" s="24">
        <f t="shared" si="36"/>
        <v>9495.2</v>
      </c>
      <c r="P155" s="32">
        <f t="shared" si="47"/>
        <v>144659.91800000003</v>
      </c>
      <c r="Q155" s="32">
        <f>D155*1.27*5+D155*1.34*7</f>
        <v>54312.54400000001</v>
      </c>
      <c r="R155" s="34">
        <f t="shared" si="37"/>
        <v>127408.32000000002</v>
      </c>
      <c r="S155" s="19"/>
      <c r="T155" s="19">
        <v>56430</v>
      </c>
      <c r="U155" s="19"/>
      <c r="V155" s="19"/>
      <c r="W155" s="19"/>
      <c r="X155" s="19"/>
      <c r="Y155" s="32">
        <f t="shared" si="48"/>
        <v>56430</v>
      </c>
      <c r="Z155" s="32">
        <f t="shared" si="38"/>
        <v>53449.344</v>
      </c>
      <c r="AA155" s="32"/>
      <c r="AB155" s="32">
        <f t="shared" si="32"/>
        <v>20302.464</v>
      </c>
      <c r="AC155" s="34">
        <f t="shared" si="39"/>
        <v>9670.24</v>
      </c>
      <c r="AD155" s="8"/>
      <c r="AE155" s="8"/>
      <c r="AF155" s="34"/>
      <c r="AG155" s="32">
        <f t="shared" si="40"/>
        <v>48891.648</v>
      </c>
      <c r="AH155" s="32"/>
      <c r="AI155" s="32">
        <f t="shared" si="49"/>
        <v>515124.478</v>
      </c>
    </row>
    <row r="156" spans="1:35" ht="15.75">
      <c r="A156" s="3" t="s">
        <v>110</v>
      </c>
      <c r="B156" s="4" t="s">
        <v>34</v>
      </c>
      <c r="C156" s="3" t="s">
        <v>2</v>
      </c>
      <c r="D156" s="29">
        <v>61</v>
      </c>
      <c r="E156" s="19">
        <f t="shared" si="41"/>
        <v>263.52</v>
      </c>
      <c r="F156" s="19">
        <f t="shared" si="42"/>
        <v>871.08</v>
      </c>
      <c r="G156" s="19">
        <f t="shared" si="43"/>
        <v>863.7599999999999</v>
      </c>
      <c r="H156" s="19">
        <f t="shared" si="44"/>
        <v>190.32000000000002</v>
      </c>
      <c r="I156" s="19">
        <f t="shared" si="45"/>
        <v>43.919999999999995</v>
      </c>
      <c r="J156" s="19">
        <f t="shared" si="46"/>
        <v>131.76</v>
      </c>
      <c r="K156" s="19">
        <f>2*230</f>
        <v>460</v>
      </c>
      <c r="L156" s="8"/>
      <c r="M156" s="8"/>
      <c r="N156" s="8"/>
      <c r="O156" s="24">
        <f t="shared" si="36"/>
        <v>167.75000000000003</v>
      </c>
      <c r="P156" s="32">
        <f t="shared" si="47"/>
        <v>2992.1099999999997</v>
      </c>
      <c r="Q156" s="32"/>
      <c r="R156" s="34">
        <f t="shared" si="37"/>
        <v>2250.9</v>
      </c>
      <c r="S156" s="19"/>
      <c r="T156" s="19"/>
      <c r="U156" s="19"/>
      <c r="V156" s="19"/>
      <c r="W156" s="19"/>
      <c r="X156" s="19"/>
      <c r="Y156" s="32">
        <f t="shared" si="48"/>
        <v>0</v>
      </c>
      <c r="Z156" s="32">
        <f t="shared" si="38"/>
        <v>944.28</v>
      </c>
      <c r="AA156" s="32"/>
      <c r="AB156" s="32">
        <f t="shared" si="32"/>
        <v>358.68</v>
      </c>
      <c r="AC156" s="34">
        <f t="shared" si="39"/>
        <v>173.20000000000002</v>
      </c>
      <c r="AD156" s="8"/>
      <c r="AE156" s="8"/>
      <c r="AF156" s="34"/>
      <c r="AG156" s="32">
        <f t="shared" si="40"/>
        <v>863.7599999999999</v>
      </c>
      <c r="AH156" s="32"/>
      <c r="AI156" s="32">
        <f t="shared" si="49"/>
        <v>7582.93</v>
      </c>
    </row>
    <row r="157" spans="1:35" ht="15.75">
      <c r="A157" s="3" t="s">
        <v>112</v>
      </c>
      <c r="B157" s="4" t="s">
        <v>80</v>
      </c>
      <c r="C157" s="3" t="s">
        <v>2</v>
      </c>
      <c r="D157" s="29">
        <v>1207.2</v>
      </c>
      <c r="E157" s="19">
        <f t="shared" si="41"/>
        <v>5215.103999999999</v>
      </c>
      <c r="F157" s="19">
        <f t="shared" si="42"/>
        <v>17238.816</v>
      </c>
      <c r="G157" s="19">
        <f t="shared" si="43"/>
        <v>17093.951999999997</v>
      </c>
      <c r="H157" s="19">
        <f t="shared" si="44"/>
        <v>3766.464</v>
      </c>
      <c r="I157" s="19">
        <f t="shared" si="45"/>
        <v>869.184</v>
      </c>
      <c r="J157" s="19">
        <f t="shared" si="46"/>
        <v>2607.5519999999997</v>
      </c>
      <c r="K157" s="19">
        <f>16*230</f>
        <v>3680</v>
      </c>
      <c r="L157" s="8">
        <f>144.73*2</f>
        <v>289.46</v>
      </c>
      <c r="M157" s="8"/>
      <c r="N157" s="8"/>
      <c r="O157" s="24">
        <f t="shared" si="36"/>
        <v>3319.8</v>
      </c>
      <c r="P157" s="32">
        <f t="shared" si="47"/>
        <v>54080.332</v>
      </c>
      <c r="Q157" s="32"/>
      <c r="R157" s="34">
        <f t="shared" si="37"/>
        <v>44545.68000000001</v>
      </c>
      <c r="S157" s="19"/>
      <c r="T157" s="19"/>
      <c r="U157" s="19"/>
      <c r="V157" s="19"/>
      <c r="W157" s="19"/>
      <c r="X157" s="19"/>
      <c r="Y157" s="32">
        <f t="shared" si="48"/>
        <v>0</v>
      </c>
      <c r="Z157" s="32">
        <f t="shared" si="38"/>
        <v>18687.456</v>
      </c>
      <c r="AA157" s="32"/>
      <c r="AB157" s="32">
        <f t="shared" si="32"/>
        <v>7098.336</v>
      </c>
      <c r="AC157" s="34">
        <f t="shared" si="39"/>
        <v>3382.5600000000004</v>
      </c>
      <c r="AD157" s="8"/>
      <c r="AE157" s="8"/>
      <c r="AF157" s="34"/>
      <c r="AG157" s="32">
        <f t="shared" si="40"/>
        <v>17093.951999999997</v>
      </c>
      <c r="AH157" s="32"/>
      <c r="AI157" s="32">
        <f t="shared" si="49"/>
        <v>144888.31600000002</v>
      </c>
    </row>
    <row r="158" spans="1:35" ht="15.75">
      <c r="A158" s="3" t="s">
        <v>113</v>
      </c>
      <c r="B158" s="4" t="s">
        <v>39</v>
      </c>
      <c r="C158" s="3" t="s">
        <v>2</v>
      </c>
      <c r="D158" s="26">
        <v>9787.2</v>
      </c>
      <c r="E158" s="19">
        <f t="shared" si="41"/>
        <v>42280.704000000005</v>
      </c>
      <c r="F158" s="19">
        <f t="shared" si="42"/>
        <v>139761.21600000001</v>
      </c>
      <c r="G158" s="19">
        <f t="shared" si="43"/>
        <v>138586.752</v>
      </c>
      <c r="H158" s="19">
        <f t="shared" si="44"/>
        <v>30536.064000000006</v>
      </c>
      <c r="I158" s="19">
        <f t="shared" si="45"/>
        <v>7046.784</v>
      </c>
      <c r="J158" s="19">
        <f t="shared" si="46"/>
        <v>21140.352000000003</v>
      </c>
      <c r="K158" s="19">
        <f>179*6*2</f>
        <v>2148</v>
      </c>
      <c r="L158" s="8">
        <f>144.73*3</f>
        <v>434.18999999999994</v>
      </c>
      <c r="M158" s="8"/>
      <c r="N158" s="8"/>
      <c r="O158" s="24">
        <f t="shared" si="36"/>
        <v>26914.800000000003</v>
      </c>
      <c r="P158" s="32">
        <f t="shared" si="47"/>
        <v>408848.862</v>
      </c>
      <c r="Q158" s="32">
        <f aca="true" t="shared" si="50" ref="Q158:Q177">D158*1.27*5+D158*1.34*7</f>
        <v>153952.65600000002</v>
      </c>
      <c r="R158" s="34">
        <f t="shared" si="37"/>
        <v>361147.68000000005</v>
      </c>
      <c r="S158" s="19"/>
      <c r="T158" s="19"/>
      <c r="U158" s="19"/>
      <c r="V158" s="19"/>
      <c r="W158" s="19"/>
      <c r="X158" s="19"/>
      <c r="Y158" s="32">
        <f t="shared" si="48"/>
        <v>0</v>
      </c>
      <c r="Z158" s="32">
        <f t="shared" si="38"/>
        <v>151505.85600000003</v>
      </c>
      <c r="AA158" s="32"/>
      <c r="AB158" s="32">
        <f t="shared" si="32"/>
        <v>57548.736000000004</v>
      </c>
      <c r="AC158" s="34">
        <f t="shared" si="39"/>
        <v>27406.560000000005</v>
      </c>
      <c r="AD158" s="8">
        <v>150520.45</v>
      </c>
      <c r="AE158" s="19">
        <v>8689.7</v>
      </c>
      <c r="AF158" s="34">
        <f>SUM(AD158:AE158)</f>
        <v>159210.15000000002</v>
      </c>
      <c r="AG158" s="32">
        <f t="shared" si="40"/>
        <v>138586.752</v>
      </c>
      <c r="AH158" s="32"/>
      <c r="AI158" s="32">
        <f t="shared" si="49"/>
        <v>1458207.252</v>
      </c>
    </row>
    <row r="159" spans="1:35" ht="15.75">
      <c r="A159" s="3" t="s">
        <v>113</v>
      </c>
      <c r="B159" s="4" t="s">
        <v>39</v>
      </c>
      <c r="C159" s="3" t="s">
        <v>111</v>
      </c>
      <c r="D159" s="26">
        <v>2640.5</v>
      </c>
      <c r="E159" s="19">
        <f t="shared" si="41"/>
        <v>11406.96</v>
      </c>
      <c r="F159" s="19">
        <f t="shared" si="42"/>
        <v>37706.34</v>
      </c>
      <c r="G159" s="19">
        <f t="shared" si="43"/>
        <v>37389.479999999996</v>
      </c>
      <c r="H159" s="19">
        <f t="shared" si="44"/>
        <v>8238.36</v>
      </c>
      <c r="I159" s="19">
        <f t="shared" si="45"/>
        <v>1901.16</v>
      </c>
      <c r="J159" s="19">
        <f t="shared" si="46"/>
        <v>5703.48</v>
      </c>
      <c r="K159" s="19">
        <f>54*6*2</f>
        <v>648</v>
      </c>
      <c r="L159" s="8">
        <f>144.73*60</f>
        <v>8683.8</v>
      </c>
      <c r="M159" s="8"/>
      <c r="N159" s="8"/>
      <c r="O159" s="24">
        <f t="shared" si="36"/>
        <v>7261.375</v>
      </c>
      <c r="P159" s="32">
        <f t="shared" si="47"/>
        <v>118938.955</v>
      </c>
      <c r="Q159" s="32">
        <f t="shared" si="50"/>
        <v>41535.065</v>
      </c>
      <c r="R159" s="34">
        <f t="shared" si="37"/>
        <v>97434.45000000001</v>
      </c>
      <c r="S159" s="19"/>
      <c r="T159" s="19"/>
      <c r="U159" s="19"/>
      <c r="V159" s="19"/>
      <c r="W159" s="19"/>
      <c r="X159" s="19">
        <v>13000</v>
      </c>
      <c r="Y159" s="32">
        <f t="shared" si="48"/>
        <v>13000</v>
      </c>
      <c r="Z159" s="32">
        <f t="shared" si="38"/>
        <v>40874.94</v>
      </c>
      <c r="AA159" s="32"/>
      <c r="AB159" s="32">
        <f aca="true" t="shared" si="51" ref="AB159:AB222">D159*0.49*12</f>
        <v>15526.14</v>
      </c>
      <c r="AC159" s="34">
        <f t="shared" si="39"/>
        <v>7395.8</v>
      </c>
      <c r="AD159" s="8">
        <v>30104.09</v>
      </c>
      <c r="AE159" s="8">
        <v>1737.94</v>
      </c>
      <c r="AF159" s="34">
        <f>SUM(AD159:AE159)</f>
        <v>31842.03</v>
      </c>
      <c r="AG159" s="32">
        <f t="shared" si="40"/>
        <v>37389.479999999996</v>
      </c>
      <c r="AH159" s="32"/>
      <c r="AI159" s="32">
        <f t="shared" si="49"/>
        <v>403936.86</v>
      </c>
    </row>
    <row r="160" spans="1:35" ht="15.75">
      <c r="A160" s="3" t="s">
        <v>113</v>
      </c>
      <c r="B160" s="4" t="s">
        <v>13</v>
      </c>
      <c r="C160" s="3" t="s">
        <v>2</v>
      </c>
      <c r="D160" s="26">
        <v>3226.8</v>
      </c>
      <c r="E160" s="19">
        <f t="shared" si="41"/>
        <v>13939.775999999998</v>
      </c>
      <c r="F160" s="19">
        <f t="shared" si="42"/>
        <v>46078.704</v>
      </c>
      <c r="G160" s="19">
        <f t="shared" si="43"/>
        <v>45691.488</v>
      </c>
      <c r="H160" s="19">
        <f t="shared" si="44"/>
        <v>10067.616000000002</v>
      </c>
      <c r="I160" s="19">
        <f t="shared" si="45"/>
        <v>2323.2960000000003</v>
      </c>
      <c r="J160" s="19">
        <f t="shared" si="46"/>
        <v>6969.887999999999</v>
      </c>
      <c r="K160" s="19">
        <f>60*8+60*6*2</f>
        <v>1200</v>
      </c>
      <c r="L160" s="8">
        <f>144.73*70</f>
        <v>10131.099999999999</v>
      </c>
      <c r="M160" s="8"/>
      <c r="N160" s="8"/>
      <c r="O160" s="24">
        <f t="shared" si="36"/>
        <v>8873.7</v>
      </c>
      <c r="P160" s="32">
        <f t="shared" si="47"/>
        <v>145275.56800000003</v>
      </c>
      <c r="Q160" s="32">
        <f t="shared" si="50"/>
        <v>50757.564</v>
      </c>
      <c r="R160" s="34">
        <f t="shared" si="37"/>
        <v>119068.92000000003</v>
      </c>
      <c r="S160" s="19"/>
      <c r="T160" s="19">
        <f>20*135</f>
        <v>2700</v>
      </c>
      <c r="U160" s="19"/>
      <c r="V160" s="19"/>
      <c r="W160" s="19"/>
      <c r="X160" s="19"/>
      <c r="Y160" s="32">
        <f t="shared" si="48"/>
        <v>2700</v>
      </c>
      <c r="Z160" s="32">
        <f t="shared" si="38"/>
        <v>49950.864</v>
      </c>
      <c r="AA160" s="32"/>
      <c r="AB160" s="32">
        <f t="shared" si="51"/>
        <v>18973.584000000003</v>
      </c>
      <c r="AC160" s="34">
        <f t="shared" si="39"/>
        <v>9037.44</v>
      </c>
      <c r="AD160" s="8"/>
      <c r="AE160" s="8"/>
      <c r="AF160" s="34"/>
      <c r="AG160" s="32">
        <f t="shared" si="40"/>
        <v>45691.488</v>
      </c>
      <c r="AH160" s="32"/>
      <c r="AI160" s="32">
        <f t="shared" si="49"/>
        <v>441455.42800000013</v>
      </c>
    </row>
    <row r="161" spans="1:35" ht="15.75">
      <c r="A161" s="3" t="s">
        <v>113</v>
      </c>
      <c r="B161" s="4" t="s">
        <v>13</v>
      </c>
      <c r="C161" s="3" t="s">
        <v>111</v>
      </c>
      <c r="D161" s="26">
        <v>3243.9</v>
      </c>
      <c r="E161" s="19">
        <f t="shared" si="41"/>
        <v>14013.648000000001</v>
      </c>
      <c r="F161" s="19">
        <f t="shared" si="42"/>
        <v>46322.892</v>
      </c>
      <c r="G161" s="19">
        <f t="shared" si="43"/>
        <v>45933.623999999996</v>
      </c>
      <c r="H161" s="19">
        <f t="shared" si="44"/>
        <v>10120.968</v>
      </c>
      <c r="I161" s="19">
        <f t="shared" si="45"/>
        <v>2335.6079999999997</v>
      </c>
      <c r="J161" s="19">
        <f t="shared" si="46"/>
        <v>7006.8240000000005</v>
      </c>
      <c r="K161" s="19">
        <f>60*6*2</f>
        <v>720</v>
      </c>
      <c r="L161" s="8">
        <f>144.73*2</f>
        <v>289.46</v>
      </c>
      <c r="M161" s="8"/>
      <c r="N161" s="8"/>
      <c r="O161" s="24">
        <f t="shared" si="36"/>
        <v>8920.725</v>
      </c>
      <c r="P161" s="32">
        <f t="shared" si="47"/>
        <v>135663.74899999998</v>
      </c>
      <c r="Q161" s="32">
        <f t="shared" si="50"/>
        <v>51026.547000000006</v>
      </c>
      <c r="R161" s="34">
        <f t="shared" si="37"/>
        <v>119699.91</v>
      </c>
      <c r="S161" s="19">
        <f>210*120</f>
        <v>25200</v>
      </c>
      <c r="T161" s="19">
        <f>20*135</f>
        <v>2700</v>
      </c>
      <c r="U161" s="19"/>
      <c r="V161" s="19"/>
      <c r="W161" s="19"/>
      <c r="X161" s="19"/>
      <c r="Y161" s="32">
        <f t="shared" si="48"/>
        <v>27900</v>
      </c>
      <c r="Z161" s="32">
        <f t="shared" si="38"/>
        <v>50215.572</v>
      </c>
      <c r="AA161" s="32"/>
      <c r="AB161" s="32">
        <f t="shared" si="51"/>
        <v>19074.131999999998</v>
      </c>
      <c r="AC161" s="34">
        <f t="shared" si="39"/>
        <v>9085.320000000002</v>
      </c>
      <c r="AD161" s="8"/>
      <c r="AE161" s="8"/>
      <c r="AF161" s="34"/>
      <c r="AG161" s="32">
        <f t="shared" si="40"/>
        <v>45933.623999999996</v>
      </c>
      <c r="AH161" s="32"/>
      <c r="AI161" s="32">
        <f t="shared" si="49"/>
        <v>458598.854</v>
      </c>
    </row>
    <row r="162" spans="1:35" ht="15.75">
      <c r="A162" s="3" t="s">
        <v>113</v>
      </c>
      <c r="B162" s="4" t="s">
        <v>15</v>
      </c>
      <c r="C162" s="3" t="s">
        <v>2</v>
      </c>
      <c r="D162" s="26">
        <v>3253.4</v>
      </c>
      <c r="E162" s="19">
        <f t="shared" si="41"/>
        <v>14054.687999999998</v>
      </c>
      <c r="F162" s="19">
        <f t="shared" si="42"/>
        <v>46458.551999999996</v>
      </c>
      <c r="G162" s="19">
        <f t="shared" si="43"/>
        <v>46068.144</v>
      </c>
      <c r="H162" s="19">
        <f t="shared" si="44"/>
        <v>10150.608</v>
      </c>
      <c r="I162" s="19">
        <f t="shared" si="45"/>
        <v>2342.4480000000003</v>
      </c>
      <c r="J162" s="19">
        <f t="shared" si="46"/>
        <v>7027.343999999999</v>
      </c>
      <c r="K162" s="19">
        <f>60*6*2</f>
        <v>720</v>
      </c>
      <c r="L162" s="8">
        <f>144.73*70</f>
        <v>10131.099999999999</v>
      </c>
      <c r="M162" s="8"/>
      <c r="N162" s="8"/>
      <c r="O162" s="24">
        <f t="shared" si="36"/>
        <v>8946.85</v>
      </c>
      <c r="P162" s="32">
        <f t="shared" si="47"/>
        <v>145899.734</v>
      </c>
      <c r="Q162" s="32">
        <f t="shared" si="50"/>
        <v>51175.982</v>
      </c>
      <c r="R162" s="34">
        <f t="shared" si="37"/>
        <v>120050.46000000002</v>
      </c>
      <c r="S162" s="19"/>
      <c r="T162" s="19"/>
      <c r="U162" s="19"/>
      <c r="V162" s="19"/>
      <c r="W162" s="19"/>
      <c r="X162" s="19"/>
      <c r="Y162" s="32">
        <f t="shared" si="48"/>
        <v>0</v>
      </c>
      <c r="Z162" s="32">
        <f t="shared" si="38"/>
        <v>50362.632000000005</v>
      </c>
      <c r="AA162" s="32"/>
      <c r="AB162" s="32">
        <f t="shared" si="51"/>
        <v>19129.992</v>
      </c>
      <c r="AC162" s="34">
        <f t="shared" si="39"/>
        <v>9111.92</v>
      </c>
      <c r="AD162" s="8"/>
      <c r="AE162" s="8"/>
      <c r="AF162" s="34"/>
      <c r="AG162" s="32">
        <f t="shared" si="40"/>
        <v>46068.144</v>
      </c>
      <c r="AH162" s="32"/>
      <c r="AI162" s="32">
        <f t="shared" si="49"/>
        <v>441798.86400000006</v>
      </c>
    </row>
    <row r="163" spans="1:35" ht="15.75">
      <c r="A163" s="3" t="s">
        <v>113</v>
      </c>
      <c r="B163" s="4" t="s">
        <v>17</v>
      </c>
      <c r="C163" s="3" t="s">
        <v>2</v>
      </c>
      <c r="D163" s="26">
        <v>15643.7</v>
      </c>
      <c r="E163" s="19">
        <f t="shared" si="41"/>
        <v>67580.784</v>
      </c>
      <c r="F163" s="19">
        <f t="shared" si="42"/>
        <v>223392.03600000002</v>
      </c>
      <c r="G163" s="19">
        <f t="shared" si="43"/>
        <v>221514.792</v>
      </c>
      <c r="H163" s="19">
        <f t="shared" si="44"/>
        <v>48808.344000000005</v>
      </c>
      <c r="I163" s="19">
        <f t="shared" si="45"/>
        <v>11263.464</v>
      </c>
      <c r="J163" s="19">
        <f t="shared" si="46"/>
        <v>33790.392</v>
      </c>
      <c r="K163" s="19">
        <f>275*6*2</f>
        <v>3300</v>
      </c>
      <c r="L163" s="8">
        <f>144.79*297</f>
        <v>43002.63</v>
      </c>
      <c r="M163" s="8">
        <f>9*142.42*1.5</f>
        <v>1922.67</v>
      </c>
      <c r="N163" s="8"/>
      <c r="O163" s="24">
        <f t="shared" si="36"/>
        <v>43020.17500000001</v>
      </c>
      <c r="P163" s="32">
        <f t="shared" si="47"/>
        <v>697595.2870000001</v>
      </c>
      <c r="Q163" s="32">
        <f t="shared" si="50"/>
        <v>246075.401</v>
      </c>
      <c r="R163" s="34">
        <f t="shared" si="37"/>
        <v>577252.5300000001</v>
      </c>
      <c r="S163" s="19"/>
      <c r="T163" s="19"/>
      <c r="U163" s="19"/>
      <c r="V163" s="19"/>
      <c r="W163" s="19"/>
      <c r="X163" s="19"/>
      <c r="Y163" s="32">
        <f t="shared" si="48"/>
        <v>0</v>
      </c>
      <c r="Z163" s="32">
        <f t="shared" si="38"/>
        <v>242164.47600000002</v>
      </c>
      <c r="AA163" s="32">
        <f>D163*1.01*5+0.96*D163*7</f>
        <v>184126.349</v>
      </c>
      <c r="AB163" s="32">
        <f t="shared" si="51"/>
        <v>91984.956</v>
      </c>
      <c r="AC163" s="34">
        <f t="shared" si="39"/>
        <v>43804.76</v>
      </c>
      <c r="AD163" s="8">
        <v>259738.51</v>
      </c>
      <c r="AE163" s="8">
        <v>15641.45</v>
      </c>
      <c r="AF163" s="34">
        <f>SUM(AD163:AE163)</f>
        <v>275379.96</v>
      </c>
      <c r="AG163" s="32">
        <f t="shared" si="40"/>
        <v>221514.792</v>
      </c>
      <c r="AH163" s="32"/>
      <c r="AI163" s="32">
        <f t="shared" si="49"/>
        <v>2579898.5110000004</v>
      </c>
    </row>
    <row r="164" spans="1:35" ht="15.75">
      <c r="A164" s="3" t="s">
        <v>113</v>
      </c>
      <c r="B164" s="4" t="s">
        <v>21</v>
      </c>
      <c r="C164" s="3" t="s">
        <v>66</v>
      </c>
      <c r="D164" s="26">
        <v>3124</v>
      </c>
      <c r="E164" s="19">
        <f t="shared" si="41"/>
        <v>13495.679999999998</v>
      </c>
      <c r="F164" s="19">
        <f t="shared" si="42"/>
        <v>44610.72</v>
      </c>
      <c r="G164" s="19">
        <f t="shared" si="43"/>
        <v>44235.84</v>
      </c>
      <c r="H164" s="19">
        <f t="shared" si="44"/>
        <v>9746.880000000001</v>
      </c>
      <c r="I164" s="19">
        <f t="shared" si="45"/>
        <v>2249.2799999999997</v>
      </c>
      <c r="J164" s="19">
        <f t="shared" si="46"/>
        <v>6747.839999999999</v>
      </c>
      <c r="K164" s="19">
        <f>144*6</f>
        <v>864</v>
      </c>
      <c r="L164" s="8">
        <f>144.79*80</f>
        <v>11583.199999999999</v>
      </c>
      <c r="M164" s="8">
        <f>2*142.42*1.5</f>
        <v>427.26</v>
      </c>
      <c r="N164" s="8"/>
      <c r="O164" s="24">
        <f t="shared" si="36"/>
        <v>8591</v>
      </c>
      <c r="P164" s="32">
        <f t="shared" si="47"/>
        <v>142551.7</v>
      </c>
      <c r="Q164" s="32">
        <f t="shared" si="50"/>
        <v>49140.520000000004</v>
      </c>
      <c r="R164" s="34">
        <f t="shared" si="37"/>
        <v>115275.6</v>
      </c>
      <c r="S164" s="19"/>
      <c r="T164" s="19"/>
      <c r="U164" s="19"/>
      <c r="V164" s="19"/>
      <c r="W164" s="19"/>
      <c r="X164" s="19">
        <v>92200</v>
      </c>
      <c r="Y164" s="32">
        <f t="shared" si="48"/>
        <v>92200</v>
      </c>
      <c r="Z164" s="32">
        <f t="shared" si="38"/>
        <v>48359.520000000004</v>
      </c>
      <c r="AA164" s="32"/>
      <c r="AB164" s="32">
        <f t="shared" si="51"/>
        <v>18369.12</v>
      </c>
      <c r="AC164" s="34">
        <f t="shared" si="39"/>
        <v>8749.6</v>
      </c>
      <c r="AD164" s="8">
        <v>60208.18</v>
      </c>
      <c r="AE164" s="8">
        <v>3475.88</v>
      </c>
      <c r="AF164" s="34">
        <f>SUM(AD164:AE164)</f>
        <v>63684.06</v>
      </c>
      <c r="AG164" s="32">
        <f t="shared" si="40"/>
        <v>44235.84</v>
      </c>
      <c r="AH164" s="32"/>
      <c r="AI164" s="32">
        <f t="shared" si="49"/>
        <v>582565.9600000001</v>
      </c>
    </row>
    <row r="165" spans="1:35" ht="15.75">
      <c r="A165" s="3" t="s">
        <v>113</v>
      </c>
      <c r="B165" s="4" t="s">
        <v>21</v>
      </c>
      <c r="C165" s="3" t="s">
        <v>111</v>
      </c>
      <c r="D165" s="27">
        <v>3148.3</v>
      </c>
      <c r="E165" s="19">
        <f t="shared" si="41"/>
        <v>13600.655999999999</v>
      </c>
      <c r="F165" s="19">
        <f t="shared" si="42"/>
        <v>44957.724</v>
      </c>
      <c r="G165" s="19">
        <f t="shared" si="43"/>
        <v>44579.928</v>
      </c>
      <c r="H165" s="19">
        <f t="shared" si="44"/>
        <v>9822.696000000002</v>
      </c>
      <c r="I165" s="19">
        <f t="shared" si="45"/>
        <v>2266.776</v>
      </c>
      <c r="J165" s="19">
        <f t="shared" si="46"/>
        <v>6800.3279999999995</v>
      </c>
      <c r="K165" s="19">
        <f>108*6</f>
        <v>648</v>
      </c>
      <c r="L165" s="8">
        <f>144.79*62</f>
        <v>8976.98</v>
      </c>
      <c r="M165" s="8">
        <f>2*142.42*1.5</f>
        <v>427.26</v>
      </c>
      <c r="N165" s="8"/>
      <c r="O165" s="24">
        <f t="shared" si="36"/>
        <v>8657.825</v>
      </c>
      <c r="P165" s="32">
        <f t="shared" si="47"/>
        <v>140738.173</v>
      </c>
      <c r="Q165" s="32">
        <f t="shared" si="50"/>
        <v>49522.759000000005</v>
      </c>
      <c r="R165" s="34">
        <f t="shared" si="37"/>
        <v>116172.27000000002</v>
      </c>
      <c r="S165" s="19"/>
      <c r="T165" s="19"/>
      <c r="U165" s="19"/>
      <c r="V165" s="19"/>
      <c r="W165" s="19"/>
      <c r="X165" s="19">
        <v>57200</v>
      </c>
      <c r="Y165" s="32">
        <f t="shared" si="48"/>
        <v>57200</v>
      </c>
      <c r="Z165" s="32">
        <f t="shared" si="38"/>
        <v>48735.684</v>
      </c>
      <c r="AA165" s="32"/>
      <c r="AB165" s="32">
        <f t="shared" si="51"/>
        <v>18512.004</v>
      </c>
      <c r="AC165" s="34">
        <f t="shared" si="39"/>
        <v>8817.640000000001</v>
      </c>
      <c r="AD165" s="8">
        <v>60208.18</v>
      </c>
      <c r="AE165" s="8">
        <v>3475.88</v>
      </c>
      <c r="AF165" s="34">
        <f>SUM(AD165:AE165)</f>
        <v>63684.06</v>
      </c>
      <c r="AG165" s="32">
        <f t="shared" si="40"/>
        <v>44579.928</v>
      </c>
      <c r="AH165" s="32"/>
      <c r="AI165" s="32">
        <f t="shared" si="49"/>
        <v>547962.518</v>
      </c>
    </row>
    <row r="166" spans="1:35" ht="15.75">
      <c r="A166" s="3" t="s">
        <v>113</v>
      </c>
      <c r="B166" s="4" t="s">
        <v>21</v>
      </c>
      <c r="C166" s="3" t="s">
        <v>114</v>
      </c>
      <c r="D166" s="27">
        <v>1563.4</v>
      </c>
      <c r="E166" s="19">
        <f t="shared" si="41"/>
        <v>6753.887999999999</v>
      </c>
      <c r="F166" s="19">
        <f t="shared" si="42"/>
        <v>22325.352</v>
      </c>
      <c r="G166" s="19">
        <f t="shared" si="43"/>
        <v>22137.744</v>
      </c>
      <c r="H166" s="19">
        <f t="shared" si="44"/>
        <v>4877.808000000001</v>
      </c>
      <c r="I166" s="19">
        <f t="shared" si="45"/>
        <v>1125.6480000000001</v>
      </c>
      <c r="J166" s="19">
        <f t="shared" si="46"/>
        <v>3376.9439999999995</v>
      </c>
      <c r="K166" s="19">
        <f>72*6</f>
        <v>432</v>
      </c>
      <c r="L166" s="8">
        <f>144.79*42</f>
        <v>6081.179999999999</v>
      </c>
      <c r="M166" s="8">
        <f>1*142.42*1.5</f>
        <v>213.63</v>
      </c>
      <c r="N166" s="8"/>
      <c r="O166" s="24">
        <f t="shared" si="36"/>
        <v>4299.35</v>
      </c>
      <c r="P166" s="32">
        <f t="shared" si="47"/>
        <v>71623.54400000001</v>
      </c>
      <c r="Q166" s="32">
        <f t="shared" si="50"/>
        <v>24592.282000000003</v>
      </c>
      <c r="R166" s="34">
        <f t="shared" si="37"/>
        <v>57689.460000000014</v>
      </c>
      <c r="S166" s="19"/>
      <c r="T166" s="19"/>
      <c r="U166" s="19"/>
      <c r="V166" s="19"/>
      <c r="W166" s="19"/>
      <c r="X166" s="19">
        <v>128200</v>
      </c>
      <c r="Y166" s="32">
        <f t="shared" si="48"/>
        <v>128200</v>
      </c>
      <c r="Z166" s="32">
        <f t="shared" si="38"/>
        <v>24201.432000000004</v>
      </c>
      <c r="AA166" s="32"/>
      <c r="AB166" s="32">
        <f t="shared" si="51"/>
        <v>9192.792000000001</v>
      </c>
      <c r="AC166" s="34">
        <f t="shared" si="39"/>
        <v>4379.92</v>
      </c>
      <c r="AD166" s="8">
        <v>30104.09</v>
      </c>
      <c r="AE166" s="8">
        <v>1737.94</v>
      </c>
      <c r="AF166" s="34">
        <f>SUM(AD166:AE166)</f>
        <v>31842.03</v>
      </c>
      <c r="AG166" s="32">
        <f t="shared" si="40"/>
        <v>22137.744</v>
      </c>
      <c r="AH166" s="32"/>
      <c r="AI166" s="32">
        <f t="shared" si="49"/>
        <v>373859.2040000001</v>
      </c>
    </row>
    <row r="167" spans="1:35" ht="15.75">
      <c r="A167" s="3" t="s">
        <v>113</v>
      </c>
      <c r="B167" s="4" t="s">
        <v>84</v>
      </c>
      <c r="C167" s="3" t="s">
        <v>66</v>
      </c>
      <c r="D167" s="27">
        <v>17400.5</v>
      </c>
      <c r="E167" s="19">
        <f t="shared" si="41"/>
        <v>75170.15999999999</v>
      </c>
      <c r="F167" s="19">
        <f t="shared" si="42"/>
        <v>248479.13999999996</v>
      </c>
      <c r="G167" s="19">
        <f t="shared" si="43"/>
        <v>246391.08000000002</v>
      </c>
      <c r="H167" s="19">
        <f t="shared" si="44"/>
        <v>54289.56</v>
      </c>
      <c r="I167" s="19">
        <f t="shared" si="45"/>
        <v>12528.36</v>
      </c>
      <c r="J167" s="19">
        <f t="shared" si="46"/>
        <v>37585.079999999994</v>
      </c>
      <c r="K167" s="19">
        <f>358*6*2</f>
        <v>4296</v>
      </c>
      <c r="L167" s="8">
        <f>144.73*2</f>
        <v>289.46</v>
      </c>
      <c r="M167" s="8">
        <f>10*142.42*1.5</f>
        <v>2136.2999999999997</v>
      </c>
      <c r="N167" s="8"/>
      <c r="O167" s="24">
        <f t="shared" si="36"/>
        <v>47851.37500000001</v>
      </c>
      <c r="P167" s="32">
        <f t="shared" si="47"/>
        <v>729016.5149999999</v>
      </c>
      <c r="Q167" s="32">
        <f t="shared" si="50"/>
        <v>273709.865</v>
      </c>
      <c r="R167" s="34">
        <f t="shared" si="37"/>
        <v>642078.45</v>
      </c>
      <c r="S167" s="19">
        <f>150*120</f>
        <v>18000</v>
      </c>
      <c r="T167" s="19"/>
      <c r="U167" s="19"/>
      <c r="V167" s="19"/>
      <c r="W167" s="19"/>
      <c r="X167" s="19"/>
      <c r="Y167" s="32">
        <f t="shared" si="48"/>
        <v>18000</v>
      </c>
      <c r="Z167" s="32">
        <f t="shared" si="38"/>
        <v>269359.74</v>
      </c>
      <c r="AA167" s="32">
        <f>D167*1.01*5+0.96*D167*7</f>
        <v>204803.885</v>
      </c>
      <c r="AB167" s="32">
        <f t="shared" si="51"/>
        <v>102314.93999999999</v>
      </c>
      <c r="AC167" s="34">
        <f t="shared" si="39"/>
        <v>48723.80000000001</v>
      </c>
      <c r="AD167" s="8">
        <v>301040.89</v>
      </c>
      <c r="AE167" s="19">
        <v>17379.4</v>
      </c>
      <c r="AF167" s="34">
        <f>SUM(AD167:AE167)</f>
        <v>318420.29000000004</v>
      </c>
      <c r="AG167" s="32">
        <f t="shared" si="40"/>
        <v>246391.08000000002</v>
      </c>
      <c r="AH167" s="32"/>
      <c r="AI167" s="32">
        <f t="shared" si="49"/>
        <v>2852818.565</v>
      </c>
    </row>
    <row r="168" spans="1:35" ht="15.75">
      <c r="A168" s="3" t="s">
        <v>113</v>
      </c>
      <c r="B168" s="4" t="s">
        <v>84</v>
      </c>
      <c r="C168" s="3" t="s">
        <v>111</v>
      </c>
      <c r="D168" s="27">
        <v>3444</v>
      </c>
      <c r="E168" s="19">
        <f t="shared" si="41"/>
        <v>14878.079999999998</v>
      </c>
      <c r="F168" s="19">
        <f t="shared" si="42"/>
        <v>49180.31999999999</v>
      </c>
      <c r="G168" s="19">
        <f t="shared" si="43"/>
        <v>48767.03999999999</v>
      </c>
      <c r="H168" s="19">
        <f t="shared" si="44"/>
        <v>10745.28</v>
      </c>
      <c r="I168" s="19">
        <f t="shared" si="45"/>
        <v>2479.68</v>
      </c>
      <c r="J168" s="19">
        <f t="shared" si="46"/>
        <v>7439.039999999999</v>
      </c>
      <c r="K168" s="19">
        <f>75*6*2</f>
        <v>900</v>
      </c>
      <c r="L168" s="8">
        <f>144.79*87</f>
        <v>12596.73</v>
      </c>
      <c r="M168" s="8"/>
      <c r="N168" s="8"/>
      <c r="O168" s="24">
        <f t="shared" si="36"/>
        <v>9471</v>
      </c>
      <c r="P168" s="32">
        <f t="shared" si="47"/>
        <v>156457.16999999998</v>
      </c>
      <c r="Q168" s="32">
        <f t="shared" si="50"/>
        <v>54174.12</v>
      </c>
      <c r="R168" s="34">
        <f t="shared" si="37"/>
        <v>127083.6</v>
      </c>
      <c r="S168" s="19"/>
      <c r="T168" s="19"/>
      <c r="U168" s="19"/>
      <c r="V168" s="19"/>
      <c r="W168" s="19"/>
      <c r="X168" s="19">
        <v>88200</v>
      </c>
      <c r="Y168" s="32">
        <f t="shared" si="48"/>
        <v>88200</v>
      </c>
      <c r="Z168" s="32">
        <f t="shared" si="38"/>
        <v>53313.12</v>
      </c>
      <c r="AA168" s="32"/>
      <c r="AB168" s="32">
        <f t="shared" si="51"/>
        <v>20250.72</v>
      </c>
      <c r="AC168" s="34">
        <f t="shared" si="39"/>
        <v>9645.6</v>
      </c>
      <c r="AD168" s="8"/>
      <c r="AE168" s="8"/>
      <c r="AF168" s="34"/>
      <c r="AG168" s="32">
        <f t="shared" si="40"/>
        <v>48767.03999999999</v>
      </c>
      <c r="AH168" s="32"/>
      <c r="AI168" s="32">
        <f t="shared" si="49"/>
        <v>557891.37</v>
      </c>
    </row>
    <row r="169" spans="1:35" ht="15.75">
      <c r="A169" s="3" t="s">
        <v>113</v>
      </c>
      <c r="B169" s="4" t="s">
        <v>84</v>
      </c>
      <c r="C169" s="3" t="s">
        <v>114</v>
      </c>
      <c r="D169" s="26">
        <v>3498.3</v>
      </c>
      <c r="E169" s="19">
        <f t="shared" si="41"/>
        <v>15112.655999999999</v>
      </c>
      <c r="F169" s="19">
        <f t="shared" si="42"/>
        <v>49955.724</v>
      </c>
      <c r="G169" s="19">
        <f t="shared" si="43"/>
        <v>49535.928</v>
      </c>
      <c r="H169" s="19">
        <f t="shared" si="44"/>
        <v>10914.696000000002</v>
      </c>
      <c r="I169" s="19">
        <f t="shared" si="45"/>
        <v>2518.776</v>
      </c>
      <c r="J169" s="19">
        <f t="shared" si="46"/>
        <v>7556.3279999999995</v>
      </c>
      <c r="K169" s="19">
        <f>75*6*2</f>
        <v>900</v>
      </c>
      <c r="L169" s="8">
        <f>144.79*87</f>
        <v>12596.73</v>
      </c>
      <c r="M169" s="8"/>
      <c r="N169" s="8"/>
      <c r="O169" s="24">
        <f t="shared" si="36"/>
        <v>9620.325</v>
      </c>
      <c r="P169" s="32">
        <f t="shared" si="47"/>
        <v>158711.16300000003</v>
      </c>
      <c r="Q169" s="32">
        <f t="shared" si="50"/>
        <v>55028.259000000005</v>
      </c>
      <c r="R169" s="34">
        <f t="shared" si="37"/>
        <v>129087.27000000002</v>
      </c>
      <c r="S169" s="19"/>
      <c r="T169" s="19"/>
      <c r="U169" s="19"/>
      <c r="V169" s="19"/>
      <c r="W169" s="19"/>
      <c r="X169" s="19"/>
      <c r="Y169" s="32">
        <f t="shared" si="48"/>
        <v>0</v>
      </c>
      <c r="Z169" s="32">
        <f t="shared" si="38"/>
        <v>54153.68400000001</v>
      </c>
      <c r="AA169" s="32"/>
      <c r="AB169" s="32">
        <f t="shared" si="51"/>
        <v>20570.004</v>
      </c>
      <c r="AC169" s="34">
        <f t="shared" si="39"/>
        <v>9797.640000000001</v>
      </c>
      <c r="AD169" s="8"/>
      <c r="AE169" s="8"/>
      <c r="AF169" s="34"/>
      <c r="AG169" s="32">
        <f t="shared" si="40"/>
        <v>49535.928</v>
      </c>
      <c r="AH169" s="32"/>
      <c r="AI169" s="32">
        <f t="shared" si="49"/>
        <v>476883.9480000001</v>
      </c>
    </row>
    <row r="170" spans="1:35" ht="15.75">
      <c r="A170" s="3" t="s">
        <v>113</v>
      </c>
      <c r="B170" s="4" t="s">
        <v>115</v>
      </c>
      <c r="C170" s="3" t="s">
        <v>111</v>
      </c>
      <c r="D170" s="26">
        <v>14099.8</v>
      </c>
      <c r="E170" s="19">
        <f t="shared" si="41"/>
        <v>60911.136</v>
      </c>
      <c r="F170" s="19">
        <f t="shared" si="42"/>
        <v>201345.14399999997</v>
      </c>
      <c r="G170" s="19">
        <f t="shared" si="43"/>
        <v>199653.168</v>
      </c>
      <c r="H170" s="19">
        <f t="shared" si="44"/>
        <v>43991.376</v>
      </c>
      <c r="I170" s="19">
        <f t="shared" si="45"/>
        <v>10151.856</v>
      </c>
      <c r="J170" s="19">
        <f t="shared" si="46"/>
        <v>30455.568</v>
      </c>
      <c r="K170" s="19">
        <f>287*6*2</f>
        <v>3444</v>
      </c>
      <c r="L170" s="8">
        <f>144.73*2</f>
        <v>289.46</v>
      </c>
      <c r="M170" s="8">
        <f>8*142.42*1.5</f>
        <v>1709.04</v>
      </c>
      <c r="N170" s="8"/>
      <c r="O170" s="24">
        <f t="shared" si="36"/>
        <v>38774.450000000004</v>
      </c>
      <c r="P170" s="32">
        <f t="shared" si="47"/>
        <v>590725.1979999999</v>
      </c>
      <c r="Q170" s="32">
        <f t="shared" si="50"/>
        <v>221789.854</v>
      </c>
      <c r="R170" s="34">
        <f t="shared" si="37"/>
        <v>520282.61999999994</v>
      </c>
      <c r="S170" s="19">
        <f>165*120</f>
        <v>19800</v>
      </c>
      <c r="T170" s="19">
        <f>350*135</f>
        <v>47250</v>
      </c>
      <c r="U170" s="19"/>
      <c r="V170" s="19"/>
      <c r="W170" s="19"/>
      <c r="X170" s="19"/>
      <c r="Y170" s="32">
        <f t="shared" si="48"/>
        <v>67050</v>
      </c>
      <c r="Z170" s="32">
        <f t="shared" si="38"/>
        <v>218264.90399999998</v>
      </c>
      <c r="AA170" s="32">
        <f>D170*1.01*5+0.96*D170*7</f>
        <v>165954.64599999998</v>
      </c>
      <c r="AB170" s="32">
        <f t="shared" si="51"/>
        <v>82906.824</v>
      </c>
      <c r="AC170" s="34">
        <f t="shared" si="39"/>
        <v>39481.840000000004</v>
      </c>
      <c r="AD170" s="8">
        <v>240832.71</v>
      </c>
      <c r="AE170" s="8">
        <v>13903.52</v>
      </c>
      <c r="AF170" s="34">
        <f>SUM(AD170:AE170)</f>
        <v>254736.22999999998</v>
      </c>
      <c r="AG170" s="32">
        <f t="shared" si="40"/>
        <v>199653.168</v>
      </c>
      <c r="AH170" s="32"/>
      <c r="AI170" s="32">
        <f t="shared" si="49"/>
        <v>2360845.284</v>
      </c>
    </row>
    <row r="171" spans="1:35" ht="15.75">
      <c r="A171" s="3" t="s">
        <v>113</v>
      </c>
      <c r="B171" s="4" t="s">
        <v>27</v>
      </c>
      <c r="C171" s="3" t="s">
        <v>66</v>
      </c>
      <c r="D171" s="26">
        <v>2152.2</v>
      </c>
      <c r="E171" s="19">
        <f t="shared" si="41"/>
        <v>9297.503999999999</v>
      </c>
      <c r="F171" s="19">
        <f t="shared" si="42"/>
        <v>30733.415999999994</v>
      </c>
      <c r="G171" s="19">
        <f t="shared" si="43"/>
        <v>30475.151999999995</v>
      </c>
      <c r="H171" s="19">
        <f t="shared" si="44"/>
        <v>6714.864</v>
      </c>
      <c r="I171" s="19">
        <f t="shared" si="45"/>
        <v>1549.5839999999998</v>
      </c>
      <c r="J171" s="19">
        <f t="shared" si="46"/>
        <v>4648.7519999999995</v>
      </c>
      <c r="K171" s="19">
        <f>72*6</f>
        <v>432</v>
      </c>
      <c r="L171" s="8">
        <f>144.73*42</f>
        <v>6078.66</v>
      </c>
      <c r="M171" s="8">
        <f>1*142.42*1.5</f>
        <v>213.63</v>
      </c>
      <c r="N171" s="8"/>
      <c r="O171" s="24">
        <f t="shared" si="36"/>
        <v>5918.55</v>
      </c>
      <c r="P171" s="32">
        <f t="shared" si="47"/>
        <v>96062.112</v>
      </c>
      <c r="Q171" s="32">
        <f t="shared" si="50"/>
        <v>33854.106</v>
      </c>
      <c r="R171" s="34">
        <f t="shared" si="37"/>
        <v>79416.18</v>
      </c>
      <c r="S171" s="19"/>
      <c r="T171" s="19"/>
      <c r="U171" s="19"/>
      <c r="V171" s="19"/>
      <c r="W171" s="19"/>
      <c r="X171" s="19">
        <v>63300</v>
      </c>
      <c r="Y171" s="32">
        <f t="shared" si="48"/>
        <v>63300</v>
      </c>
      <c r="Z171" s="32">
        <f t="shared" si="38"/>
        <v>33316.056</v>
      </c>
      <c r="AA171" s="32"/>
      <c r="AB171" s="32">
        <f t="shared" si="51"/>
        <v>12654.936</v>
      </c>
      <c r="AC171" s="34">
        <f t="shared" si="39"/>
        <v>6028.5599999999995</v>
      </c>
      <c r="AD171" s="8">
        <v>30104.09</v>
      </c>
      <c r="AE171" s="8">
        <v>1737.94</v>
      </c>
      <c r="AF171" s="34">
        <f>SUM(AD171:AE171)</f>
        <v>31842.03</v>
      </c>
      <c r="AG171" s="32">
        <f t="shared" si="40"/>
        <v>30475.151999999995</v>
      </c>
      <c r="AH171" s="32"/>
      <c r="AI171" s="32">
        <f t="shared" si="49"/>
        <v>386949.132</v>
      </c>
    </row>
    <row r="172" spans="1:35" ht="15.75">
      <c r="A172" s="3" t="s">
        <v>113</v>
      </c>
      <c r="B172" s="4" t="s">
        <v>27</v>
      </c>
      <c r="C172" s="3" t="s">
        <v>111</v>
      </c>
      <c r="D172" s="26">
        <v>1580.5</v>
      </c>
      <c r="E172" s="19">
        <f t="shared" si="41"/>
        <v>6827.76</v>
      </c>
      <c r="F172" s="19">
        <f t="shared" si="42"/>
        <v>22569.539999999997</v>
      </c>
      <c r="G172" s="19">
        <f t="shared" si="43"/>
        <v>22379.88</v>
      </c>
      <c r="H172" s="19">
        <f t="shared" si="44"/>
        <v>4931.16</v>
      </c>
      <c r="I172" s="19">
        <f t="shared" si="45"/>
        <v>1137.96</v>
      </c>
      <c r="J172" s="19">
        <f t="shared" si="46"/>
        <v>3413.88</v>
      </c>
      <c r="K172" s="19">
        <f>72*6</f>
        <v>432</v>
      </c>
      <c r="L172" s="8">
        <f>144.73*42</f>
        <v>6078.66</v>
      </c>
      <c r="M172" s="8">
        <f>1*142.42*1.5</f>
        <v>213.63</v>
      </c>
      <c r="N172" s="8"/>
      <c r="O172" s="24">
        <f t="shared" si="36"/>
        <v>4346.375</v>
      </c>
      <c r="P172" s="32">
        <f t="shared" si="47"/>
        <v>72330.845</v>
      </c>
      <c r="Q172" s="32">
        <f t="shared" si="50"/>
        <v>24861.265000000003</v>
      </c>
      <c r="R172" s="34">
        <f t="shared" si="37"/>
        <v>58320.450000000004</v>
      </c>
      <c r="S172" s="19"/>
      <c r="T172" s="19"/>
      <c r="U172" s="19"/>
      <c r="V172" s="19"/>
      <c r="W172" s="19"/>
      <c r="X172" s="19"/>
      <c r="Y172" s="32">
        <f t="shared" si="48"/>
        <v>0</v>
      </c>
      <c r="Z172" s="32">
        <f t="shared" si="38"/>
        <v>24466.14</v>
      </c>
      <c r="AA172" s="32"/>
      <c r="AB172" s="32">
        <f t="shared" si="51"/>
        <v>9293.34</v>
      </c>
      <c r="AC172" s="34">
        <f t="shared" si="39"/>
        <v>4427.8</v>
      </c>
      <c r="AD172" s="8">
        <v>30104.09</v>
      </c>
      <c r="AE172" s="8">
        <v>1737.94</v>
      </c>
      <c r="AF172" s="34">
        <f>SUM(AD172:AE172)</f>
        <v>31842.03</v>
      </c>
      <c r="AG172" s="32">
        <f t="shared" si="40"/>
        <v>22379.88</v>
      </c>
      <c r="AH172" s="32"/>
      <c r="AI172" s="32">
        <f t="shared" si="49"/>
        <v>247921.75</v>
      </c>
    </row>
    <row r="173" spans="1:35" ht="15.75">
      <c r="A173" s="5" t="s">
        <v>113</v>
      </c>
      <c r="B173" s="5" t="s">
        <v>27</v>
      </c>
      <c r="C173" s="5" t="s">
        <v>114</v>
      </c>
      <c r="D173" s="26">
        <v>4137.9</v>
      </c>
      <c r="E173" s="19">
        <f t="shared" si="41"/>
        <v>17875.727999999996</v>
      </c>
      <c r="F173" s="19">
        <f t="shared" si="42"/>
        <v>59089.212</v>
      </c>
      <c r="G173" s="19">
        <f t="shared" si="43"/>
        <v>58592.664</v>
      </c>
      <c r="H173" s="19">
        <f t="shared" si="44"/>
        <v>12910.248</v>
      </c>
      <c r="I173" s="19">
        <f t="shared" si="45"/>
        <v>2979.2879999999996</v>
      </c>
      <c r="J173" s="19">
        <f t="shared" si="46"/>
        <v>8937.863999999998</v>
      </c>
      <c r="K173" s="19">
        <f>72*6*2</f>
        <v>864</v>
      </c>
      <c r="L173" s="8">
        <f>144.73*2</f>
        <v>289.46</v>
      </c>
      <c r="M173" s="8"/>
      <c r="N173" s="8"/>
      <c r="O173" s="24">
        <f t="shared" si="36"/>
        <v>11379.224999999999</v>
      </c>
      <c r="P173" s="32">
        <f t="shared" si="47"/>
        <v>172917.68899999998</v>
      </c>
      <c r="Q173" s="32">
        <f t="shared" si="50"/>
        <v>65089.167</v>
      </c>
      <c r="R173" s="34">
        <f t="shared" si="37"/>
        <v>152688.51</v>
      </c>
      <c r="S173" s="19"/>
      <c r="T173" s="19"/>
      <c r="U173" s="19"/>
      <c r="V173" s="19"/>
      <c r="W173" s="19"/>
      <c r="X173" s="19"/>
      <c r="Y173" s="32">
        <f t="shared" si="48"/>
        <v>0</v>
      </c>
      <c r="Z173" s="32">
        <f t="shared" si="38"/>
        <v>64054.691999999995</v>
      </c>
      <c r="AA173" s="32"/>
      <c r="AB173" s="32">
        <f t="shared" si="51"/>
        <v>24330.851999999995</v>
      </c>
      <c r="AC173" s="34">
        <f t="shared" si="39"/>
        <v>11588.519999999999</v>
      </c>
      <c r="AD173" s="8">
        <v>60208.18</v>
      </c>
      <c r="AE173" s="8">
        <v>3475.88</v>
      </c>
      <c r="AF173" s="34">
        <f>SUM(AD173:AE173)</f>
        <v>63684.06</v>
      </c>
      <c r="AG173" s="32">
        <f t="shared" si="40"/>
        <v>58592.664</v>
      </c>
      <c r="AH173" s="32"/>
      <c r="AI173" s="32">
        <f t="shared" si="49"/>
        <v>612946.154</v>
      </c>
    </row>
    <row r="174" spans="1:35" ht="15.75">
      <c r="A174" s="3" t="s">
        <v>113</v>
      </c>
      <c r="B174" s="4" t="s">
        <v>28</v>
      </c>
      <c r="C174" s="3" t="s">
        <v>114</v>
      </c>
      <c r="D174" s="26">
        <v>3468.1</v>
      </c>
      <c r="E174" s="19">
        <f t="shared" si="41"/>
        <v>14982.192</v>
      </c>
      <c r="F174" s="19">
        <f t="shared" si="42"/>
        <v>49524.46799999999</v>
      </c>
      <c r="G174" s="19">
        <f t="shared" si="43"/>
        <v>49108.295999999995</v>
      </c>
      <c r="H174" s="19">
        <f t="shared" si="44"/>
        <v>10820.472</v>
      </c>
      <c r="I174" s="19">
        <f t="shared" si="45"/>
        <v>2497.0319999999997</v>
      </c>
      <c r="J174" s="19">
        <f t="shared" si="46"/>
        <v>7491.096</v>
      </c>
      <c r="K174" s="19">
        <f>74*6*2</f>
        <v>888</v>
      </c>
      <c r="L174" s="8">
        <f>144.73*87</f>
        <v>12591.509999999998</v>
      </c>
      <c r="M174" s="8"/>
      <c r="N174" s="8"/>
      <c r="O174" s="24">
        <f t="shared" si="36"/>
        <v>9537.275000000001</v>
      </c>
      <c r="P174" s="32">
        <f t="shared" si="47"/>
        <v>157440.341</v>
      </c>
      <c r="Q174" s="32">
        <f t="shared" si="50"/>
        <v>54553.213</v>
      </c>
      <c r="R174" s="34">
        <f t="shared" si="37"/>
        <v>127972.89</v>
      </c>
      <c r="S174" s="19"/>
      <c r="T174" s="19"/>
      <c r="U174" s="19"/>
      <c r="V174" s="19"/>
      <c r="W174" s="19"/>
      <c r="X174" s="19">
        <v>50000</v>
      </c>
      <c r="Y174" s="32">
        <f t="shared" si="48"/>
        <v>50000</v>
      </c>
      <c r="Z174" s="32">
        <f t="shared" si="38"/>
        <v>53686.188</v>
      </c>
      <c r="AA174" s="32"/>
      <c r="AB174" s="32">
        <f t="shared" si="51"/>
        <v>20392.428</v>
      </c>
      <c r="AC174" s="34">
        <f t="shared" si="39"/>
        <v>9713.08</v>
      </c>
      <c r="AD174" s="8"/>
      <c r="AE174" s="8"/>
      <c r="AF174" s="34"/>
      <c r="AG174" s="32">
        <f t="shared" si="40"/>
        <v>49108.295999999995</v>
      </c>
      <c r="AH174" s="32"/>
      <c r="AI174" s="32">
        <f t="shared" si="49"/>
        <v>522866.43600000005</v>
      </c>
    </row>
    <row r="175" spans="1:35" ht="15.75">
      <c r="A175" s="3" t="s">
        <v>113</v>
      </c>
      <c r="B175" s="4" t="s">
        <v>116</v>
      </c>
      <c r="C175" s="3" t="s">
        <v>2</v>
      </c>
      <c r="D175" s="26">
        <v>3750.7</v>
      </c>
      <c r="E175" s="19">
        <f t="shared" si="41"/>
        <v>16203.024</v>
      </c>
      <c r="F175" s="19">
        <f t="shared" si="42"/>
        <v>53559.996</v>
      </c>
      <c r="G175" s="19">
        <f t="shared" si="43"/>
        <v>53109.91199999999</v>
      </c>
      <c r="H175" s="19">
        <f t="shared" si="44"/>
        <v>11702.184000000001</v>
      </c>
      <c r="I175" s="19">
        <f t="shared" si="45"/>
        <v>2700.504</v>
      </c>
      <c r="J175" s="19">
        <f t="shared" si="46"/>
        <v>8101.512</v>
      </c>
      <c r="K175" s="19">
        <f>140*6</f>
        <v>840</v>
      </c>
      <c r="L175" s="8">
        <f>144.73*80</f>
        <v>11578.4</v>
      </c>
      <c r="M175" s="8">
        <f>2*142.42*1.5</f>
        <v>427.26</v>
      </c>
      <c r="N175" s="8"/>
      <c r="O175" s="24">
        <f t="shared" si="36"/>
        <v>10314.425000000001</v>
      </c>
      <c r="P175" s="32">
        <f t="shared" si="47"/>
        <v>168537.21699999998</v>
      </c>
      <c r="Q175" s="32">
        <f t="shared" si="50"/>
        <v>58998.511</v>
      </c>
      <c r="R175" s="34">
        <f t="shared" si="37"/>
        <v>138400.83</v>
      </c>
      <c r="S175" s="19"/>
      <c r="T175" s="19"/>
      <c r="U175" s="19"/>
      <c r="V175" s="19"/>
      <c r="W175" s="19"/>
      <c r="X175" s="19">
        <v>101300</v>
      </c>
      <c r="Y175" s="32">
        <f t="shared" si="48"/>
        <v>101300</v>
      </c>
      <c r="Z175" s="32">
        <f t="shared" si="38"/>
        <v>58060.836</v>
      </c>
      <c r="AA175" s="32"/>
      <c r="AB175" s="32">
        <f t="shared" si="51"/>
        <v>22054.115999999998</v>
      </c>
      <c r="AC175" s="34">
        <f t="shared" si="39"/>
        <v>10504.359999999999</v>
      </c>
      <c r="AD175" s="8">
        <v>60208.18</v>
      </c>
      <c r="AE175" s="8">
        <v>3475.88</v>
      </c>
      <c r="AF175" s="34">
        <f>SUM(AD175:AE175)</f>
        <v>63684.06</v>
      </c>
      <c r="AG175" s="32">
        <f t="shared" si="40"/>
        <v>53109.91199999999</v>
      </c>
      <c r="AH175" s="32">
        <v>57500</v>
      </c>
      <c r="AI175" s="32">
        <f t="shared" si="49"/>
        <v>732149.842</v>
      </c>
    </row>
    <row r="176" spans="1:35" ht="15.75">
      <c r="A176" s="3" t="s">
        <v>113</v>
      </c>
      <c r="B176" s="4" t="s">
        <v>51</v>
      </c>
      <c r="C176" s="3" t="s">
        <v>66</v>
      </c>
      <c r="D176" s="26">
        <v>16013.7</v>
      </c>
      <c r="E176" s="19">
        <f t="shared" si="41"/>
        <v>69179.184</v>
      </c>
      <c r="F176" s="19">
        <f t="shared" si="42"/>
        <v>228675.636</v>
      </c>
      <c r="G176" s="19">
        <f t="shared" si="43"/>
        <v>226753.99200000003</v>
      </c>
      <c r="H176" s="19">
        <f t="shared" si="44"/>
        <v>49962.744</v>
      </c>
      <c r="I176" s="19">
        <f t="shared" si="45"/>
        <v>11529.864</v>
      </c>
      <c r="J176" s="19">
        <f t="shared" si="46"/>
        <v>34589.592</v>
      </c>
      <c r="K176" s="19">
        <f>323*6*2</f>
        <v>3876</v>
      </c>
      <c r="L176" s="8">
        <f>144.73*2</f>
        <v>289.46</v>
      </c>
      <c r="M176" s="8">
        <f>9*142.42*1.5</f>
        <v>1922.67</v>
      </c>
      <c r="N176" s="8"/>
      <c r="O176" s="24">
        <f t="shared" si="36"/>
        <v>44037.67500000001</v>
      </c>
      <c r="P176" s="32">
        <f t="shared" si="47"/>
        <v>670816.8169999999</v>
      </c>
      <c r="Q176" s="32">
        <f t="shared" si="50"/>
        <v>251895.50100000005</v>
      </c>
      <c r="R176" s="34">
        <f t="shared" si="37"/>
        <v>590905.53</v>
      </c>
      <c r="S176" s="19"/>
      <c r="T176" s="19"/>
      <c r="U176" s="19"/>
      <c r="V176" s="19"/>
      <c r="W176" s="19"/>
      <c r="X176" s="19">
        <v>194200</v>
      </c>
      <c r="Y176" s="32">
        <f t="shared" si="48"/>
        <v>194200</v>
      </c>
      <c r="Z176" s="32">
        <f t="shared" si="38"/>
        <v>247892.07600000003</v>
      </c>
      <c r="AA176" s="32">
        <f>D176*1.01*5+0.96*D176*7</f>
        <v>188481.249</v>
      </c>
      <c r="AB176" s="32">
        <f t="shared" si="51"/>
        <v>94160.55600000001</v>
      </c>
      <c r="AC176" s="34">
        <f t="shared" si="39"/>
        <v>44840.76</v>
      </c>
      <c r="AD176" s="8">
        <v>270936.8</v>
      </c>
      <c r="AE176" s="8">
        <v>15641.45</v>
      </c>
      <c r="AF176" s="34">
        <f>SUM(AD176:AE176)</f>
        <v>286578.25</v>
      </c>
      <c r="AG176" s="32">
        <f t="shared" si="40"/>
        <v>226753.99200000003</v>
      </c>
      <c r="AH176" s="32"/>
      <c r="AI176" s="32">
        <f t="shared" si="49"/>
        <v>2796524.7309999997</v>
      </c>
    </row>
    <row r="177" spans="1:35" ht="15.75">
      <c r="A177" s="3" t="s">
        <v>117</v>
      </c>
      <c r="B177" s="4" t="s">
        <v>44</v>
      </c>
      <c r="C177" s="3" t="s">
        <v>2</v>
      </c>
      <c r="D177" s="26">
        <v>5800.5</v>
      </c>
      <c r="E177" s="19">
        <f t="shared" si="41"/>
        <v>25058.159999999996</v>
      </c>
      <c r="F177" s="19">
        <f t="shared" si="42"/>
        <v>82831.13999999998</v>
      </c>
      <c r="G177" s="19">
        <f t="shared" si="43"/>
        <v>82135.07999999999</v>
      </c>
      <c r="H177" s="19">
        <f t="shared" si="44"/>
        <v>18097.56</v>
      </c>
      <c r="I177" s="19">
        <f t="shared" si="45"/>
        <v>4176.36</v>
      </c>
      <c r="J177" s="19">
        <f t="shared" si="46"/>
        <v>12529.079999999998</v>
      </c>
      <c r="K177" s="19">
        <f>119*6*2</f>
        <v>1428</v>
      </c>
      <c r="L177" s="8">
        <f>144.73*137</f>
        <v>19828.01</v>
      </c>
      <c r="M177" s="8"/>
      <c r="N177" s="8"/>
      <c r="O177" s="24">
        <f t="shared" si="36"/>
        <v>15951.375</v>
      </c>
      <c r="P177" s="32">
        <f t="shared" si="47"/>
        <v>262034.76499999996</v>
      </c>
      <c r="Q177" s="32">
        <f t="shared" si="50"/>
        <v>91241.865</v>
      </c>
      <c r="R177" s="34">
        <f t="shared" si="37"/>
        <v>214038.45</v>
      </c>
      <c r="S177" s="19"/>
      <c r="T177" s="19">
        <v>147540.01</v>
      </c>
      <c r="U177" s="19"/>
      <c r="V177" s="19"/>
      <c r="W177" s="19"/>
      <c r="X177" s="19"/>
      <c r="Y177" s="32">
        <f t="shared" si="48"/>
        <v>147540.01</v>
      </c>
      <c r="Z177" s="32">
        <f t="shared" si="38"/>
        <v>89791.74</v>
      </c>
      <c r="AA177" s="32"/>
      <c r="AB177" s="32">
        <f t="shared" si="51"/>
        <v>34106.94</v>
      </c>
      <c r="AC177" s="34">
        <f t="shared" si="39"/>
        <v>16243.800000000001</v>
      </c>
      <c r="AD177" s="8"/>
      <c r="AE177" s="8"/>
      <c r="AF177" s="34"/>
      <c r="AG177" s="32">
        <f t="shared" si="40"/>
        <v>82135.07999999999</v>
      </c>
      <c r="AH177" s="32">
        <v>57500</v>
      </c>
      <c r="AI177" s="32">
        <f t="shared" si="49"/>
        <v>994632.65</v>
      </c>
    </row>
    <row r="178" spans="1:35" ht="15.75">
      <c r="A178" s="5" t="s">
        <v>118</v>
      </c>
      <c r="B178" s="5" t="s">
        <v>119</v>
      </c>
      <c r="C178" s="5" t="s">
        <v>2</v>
      </c>
      <c r="D178" s="29">
        <v>94.8</v>
      </c>
      <c r="E178" s="19">
        <f t="shared" si="41"/>
        <v>409.536</v>
      </c>
      <c r="F178" s="19">
        <f t="shared" si="42"/>
        <v>1353.744</v>
      </c>
      <c r="G178" s="19">
        <f t="shared" si="43"/>
        <v>1342.368</v>
      </c>
      <c r="H178" s="19">
        <f t="shared" si="44"/>
        <v>295.776</v>
      </c>
      <c r="I178" s="19">
        <f t="shared" si="45"/>
        <v>68.256</v>
      </c>
      <c r="J178" s="19">
        <f t="shared" si="46"/>
        <v>204.768</v>
      </c>
      <c r="K178" s="19">
        <f>2*230</f>
        <v>460</v>
      </c>
      <c r="L178" s="8"/>
      <c r="M178" s="8"/>
      <c r="N178" s="8"/>
      <c r="O178" s="24">
        <f t="shared" si="36"/>
        <v>260.7</v>
      </c>
      <c r="P178" s="32">
        <f t="shared" si="47"/>
        <v>4395.148</v>
      </c>
      <c r="Q178" s="32"/>
      <c r="R178" s="34">
        <f t="shared" si="37"/>
        <v>3498.12</v>
      </c>
      <c r="S178" s="19"/>
      <c r="T178" s="19"/>
      <c r="U178" s="19"/>
      <c r="V178" s="19"/>
      <c r="W178" s="19"/>
      <c r="X178" s="19"/>
      <c r="Y178" s="32">
        <f t="shared" si="48"/>
        <v>0</v>
      </c>
      <c r="Z178" s="32">
        <f t="shared" si="38"/>
        <v>1467.504</v>
      </c>
      <c r="AA178" s="32"/>
      <c r="AB178" s="32">
        <f t="shared" si="51"/>
        <v>557.424</v>
      </c>
      <c r="AC178" s="34">
        <f t="shared" si="39"/>
        <v>267.84</v>
      </c>
      <c r="AD178" s="8"/>
      <c r="AE178" s="8"/>
      <c r="AF178" s="34"/>
      <c r="AG178" s="32">
        <f t="shared" si="40"/>
        <v>1342.368</v>
      </c>
      <c r="AH178" s="32"/>
      <c r="AI178" s="32">
        <f t="shared" si="49"/>
        <v>11528.404</v>
      </c>
    </row>
    <row r="179" spans="1:35" ht="15.75">
      <c r="A179" s="3" t="s">
        <v>120</v>
      </c>
      <c r="B179" s="4" t="s">
        <v>1</v>
      </c>
      <c r="C179" s="3" t="s">
        <v>2</v>
      </c>
      <c r="D179" s="26">
        <v>1557</v>
      </c>
      <c r="E179" s="19">
        <f t="shared" si="41"/>
        <v>6726.24</v>
      </c>
      <c r="F179" s="19">
        <f t="shared" si="42"/>
        <v>22233.96</v>
      </c>
      <c r="G179" s="19">
        <f t="shared" si="43"/>
        <v>22047.12</v>
      </c>
      <c r="H179" s="19">
        <f t="shared" si="44"/>
        <v>4857.84</v>
      </c>
      <c r="I179" s="19">
        <f t="shared" si="45"/>
        <v>1121.04</v>
      </c>
      <c r="J179" s="19">
        <f t="shared" si="46"/>
        <v>3363.12</v>
      </c>
      <c r="K179" s="19">
        <f>36*8*4+36*6*2</f>
        <v>1584</v>
      </c>
      <c r="L179" s="8">
        <f>144.73*44</f>
        <v>6368.12</v>
      </c>
      <c r="M179" s="8"/>
      <c r="N179" s="8">
        <f>939*20.77</f>
        <v>19503.03</v>
      </c>
      <c r="O179" s="24">
        <f t="shared" si="36"/>
        <v>4281.75</v>
      </c>
      <c r="P179" s="32">
        <f t="shared" si="47"/>
        <v>92086.21999999999</v>
      </c>
      <c r="Q179" s="32">
        <f>D179*1.27*5+D179*1.34*7</f>
        <v>24491.61</v>
      </c>
      <c r="R179" s="34">
        <f t="shared" si="37"/>
        <v>57453.3</v>
      </c>
      <c r="S179" s="19"/>
      <c r="T179" s="19"/>
      <c r="U179" s="19"/>
      <c r="V179" s="19"/>
      <c r="W179" s="19">
        <f>5*220</f>
        <v>1100</v>
      </c>
      <c r="X179" s="19"/>
      <c r="Y179" s="32">
        <f t="shared" si="48"/>
        <v>1100</v>
      </c>
      <c r="Z179" s="32">
        <f t="shared" si="38"/>
        <v>24102.36</v>
      </c>
      <c r="AA179" s="32"/>
      <c r="AB179" s="32">
        <f t="shared" si="51"/>
        <v>9155.16</v>
      </c>
      <c r="AC179" s="34">
        <f t="shared" si="39"/>
        <v>4362</v>
      </c>
      <c r="AD179" s="8"/>
      <c r="AE179" s="8"/>
      <c r="AF179" s="34"/>
      <c r="AG179" s="32">
        <f t="shared" si="40"/>
        <v>22047.12</v>
      </c>
      <c r="AH179" s="32">
        <v>57500</v>
      </c>
      <c r="AI179" s="32">
        <f t="shared" si="49"/>
        <v>292297.77</v>
      </c>
    </row>
    <row r="180" spans="1:35" ht="15.75">
      <c r="A180" s="3" t="s">
        <v>120</v>
      </c>
      <c r="B180" s="4" t="s">
        <v>121</v>
      </c>
      <c r="C180" s="3" t="s">
        <v>2</v>
      </c>
      <c r="D180" s="26">
        <v>1641.3</v>
      </c>
      <c r="E180" s="19">
        <f t="shared" si="41"/>
        <v>7090.415999999999</v>
      </c>
      <c r="F180" s="19">
        <f t="shared" si="42"/>
        <v>23437.764</v>
      </c>
      <c r="G180" s="19">
        <f t="shared" si="43"/>
        <v>23240.807999999997</v>
      </c>
      <c r="H180" s="19">
        <f t="shared" si="44"/>
        <v>5120.856</v>
      </c>
      <c r="I180" s="19">
        <f t="shared" si="45"/>
        <v>1181.7359999999999</v>
      </c>
      <c r="J180" s="19">
        <f t="shared" si="46"/>
        <v>3545.2079999999996</v>
      </c>
      <c r="K180" s="19">
        <f>19*6*2</f>
        <v>228</v>
      </c>
      <c r="L180" s="8"/>
      <c r="M180" s="8"/>
      <c r="N180" s="8"/>
      <c r="O180" s="24">
        <f t="shared" si="36"/>
        <v>4513.575</v>
      </c>
      <c r="P180" s="32">
        <f t="shared" si="47"/>
        <v>68358.363</v>
      </c>
      <c r="Q180" s="32">
        <f>D180*1.27*5+D180*1.34*7</f>
        <v>25817.649</v>
      </c>
      <c r="R180" s="34">
        <f t="shared" si="37"/>
        <v>60563.969999999994</v>
      </c>
      <c r="S180" s="19"/>
      <c r="T180" s="19"/>
      <c r="U180" s="19"/>
      <c r="V180" s="19"/>
      <c r="W180" s="19">
        <f>11*220</f>
        <v>2420</v>
      </c>
      <c r="X180" s="19"/>
      <c r="Y180" s="32">
        <f t="shared" si="48"/>
        <v>2420</v>
      </c>
      <c r="Z180" s="32">
        <f t="shared" si="38"/>
        <v>25407.324</v>
      </c>
      <c r="AA180" s="32"/>
      <c r="AB180" s="32">
        <f t="shared" si="51"/>
        <v>9650.844</v>
      </c>
      <c r="AC180" s="34">
        <f t="shared" si="39"/>
        <v>4598.039999999999</v>
      </c>
      <c r="AD180" s="8"/>
      <c r="AE180" s="8"/>
      <c r="AF180" s="34"/>
      <c r="AG180" s="32">
        <f t="shared" si="40"/>
        <v>23240.807999999997</v>
      </c>
      <c r="AH180" s="32"/>
      <c r="AI180" s="32">
        <f t="shared" si="49"/>
        <v>220056.998</v>
      </c>
    </row>
    <row r="181" spans="1:35" ht="15.75">
      <c r="A181" s="3" t="s">
        <v>120</v>
      </c>
      <c r="B181" s="4" t="s">
        <v>122</v>
      </c>
      <c r="C181" s="3" t="s">
        <v>2</v>
      </c>
      <c r="D181" s="26">
        <v>1295.9</v>
      </c>
      <c r="E181" s="19">
        <f t="shared" si="41"/>
        <v>5598.2880000000005</v>
      </c>
      <c r="F181" s="19">
        <f t="shared" si="42"/>
        <v>18505.452</v>
      </c>
      <c r="G181" s="19">
        <f t="shared" si="43"/>
        <v>18349.944</v>
      </c>
      <c r="H181" s="19">
        <f t="shared" si="44"/>
        <v>4043.2080000000005</v>
      </c>
      <c r="I181" s="19">
        <f t="shared" si="45"/>
        <v>933.048</v>
      </c>
      <c r="J181" s="19">
        <f t="shared" si="46"/>
        <v>2799.1440000000002</v>
      </c>
      <c r="K181" s="19">
        <f>32*8*4+32*6*2</f>
        <v>1408</v>
      </c>
      <c r="L181" s="8"/>
      <c r="M181" s="8"/>
      <c r="N181" s="8"/>
      <c r="O181" s="24">
        <f t="shared" si="36"/>
        <v>3563.7250000000004</v>
      </c>
      <c r="P181" s="32">
        <f t="shared" si="47"/>
        <v>55200.809</v>
      </c>
      <c r="Q181" s="32">
        <f>D181*1.27*5+D181*1.34*7</f>
        <v>20384.507</v>
      </c>
      <c r="R181" s="34">
        <f t="shared" si="37"/>
        <v>47818.71000000001</v>
      </c>
      <c r="S181" s="19">
        <f>20*700</f>
        <v>14000</v>
      </c>
      <c r="T181" s="19"/>
      <c r="U181" s="19"/>
      <c r="V181" s="19">
        <f>112*150</f>
        <v>16800</v>
      </c>
      <c r="W181" s="19">
        <f>10*220</f>
        <v>2200</v>
      </c>
      <c r="X181" s="19"/>
      <c r="Y181" s="32">
        <f t="shared" si="48"/>
        <v>33000</v>
      </c>
      <c r="Z181" s="32">
        <f t="shared" si="38"/>
        <v>20060.532000000003</v>
      </c>
      <c r="AA181" s="32"/>
      <c r="AB181" s="32">
        <f t="shared" si="51"/>
        <v>7619.892</v>
      </c>
      <c r="AC181" s="34">
        <f t="shared" si="39"/>
        <v>3630.92</v>
      </c>
      <c r="AD181" s="8"/>
      <c r="AE181" s="8"/>
      <c r="AF181" s="34"/>
      <c r="AG181" s="32">
        <f t="shared" si="40"/>
        <v>18349.944</v>
      </c>
      <c r="AH181" s="32"/>
      <c r="AI181" s="32">
        <f t="shared" si="49"/>
        <v>206065.314</v>
      </c>
    </row>
    <row r="182" spans="1:35" ht="15.75">
      <c r="A182" s="3" t="s">
        <v>120</v>
      </c>
      <c r="B182" s="4" t="s">
        <v>123</v>
      </c>
      <c r="C182" s="3" t="s">
        <v>2</v>
      </c>
      <c r="D182" s="26">
        <v>968.2</v>
      </c>
      <c r="E182" s="19">
        <f t="shared" si="41"/>
        <v>4182.624</v>
      </c>
      <c r="F182" s="19">
        <f t="shared" si="42"/>
        <v>13825.895999999999</v>
      </c>
      <c r="G182" s="19">
        <f t="shared" si="43"/>
        <v>13709.712</v>
      </c>
      <c r="H182" s="19">
        <f t="shared" si="44"/>
        <v>3020.7840000000006</v>
      </c>
      <c r="I182" s="19">
        <f t="shared" si="45"/>
        <v>697.104</v>
      </c>
      <c r="J182" s="19">
        <f t="shared" si="46"/>
        <v>2091.312</v>
      </c>
      <c r="K182" s="19">
        <f>24*8*4+24*6*2</f>
        <v>1056</v>
      </c>
      <c r="L182" s="8">
        <f>144.73*30</f>
        <v>4341.9</v>
      </c>
      <c r="M182" s="8"/>
      <c r="N182" s="8"/>
      <c r="O182" s="24">
        <f t="shared" si="36"/>
        <v>2662.5500000000006</v>
      </c>
      <c r="P182" s="32">
        <f t="shared" si="47"/>
        <v>45587.882</v>
      </c>
      <c r="Q182" s="32"/>
      <c r="R182" s="34">
        <f t="shared" si="37"/>
        <v>35726.58</v>
      </c>
      <c r="S182" s="19"/>
      <c r="T182" s="19"/>
      <c r="U182" s="19"/>
      <c r="V182" s="19"/>
      <c r="W182" s="19">
        <f>9*220</f>
        <v>1980</v>
      </c>
      <c r="X182" s="19"/>
      <c r="Y182" s="32">
        <f t="shared" si="48"/>
        <v>1980</v>
      </c>
      <c r="Z182" s="32">
        <f t="shared" si="38"/>
        <v>14987.736</v>
      </c>
      <c r="AA182" s="32"/>
      <c r="AB182" s="32">
        <f t="shared" si="51"/>
        <v>5693.016</v>
      </c>
      <c r="AC182" s="34">
        <f t="shared" si="39"/>
        <v>2713.36</v>
      </c>
      <c r="AD182" s="8"/>
      <c r="AE182" s="8"/>
      <c r="AF182" s="34"/>
      <c r="AG182" s="32">
        <f t="shared" si="40"/>
        <v>13709.712</v>
      </c>
      <c r="AH182" s="32"/>
      <c r="AI182" s="32">
        <f t="shared" si="49"/>
        <v>120398.28600000001</v>
      </c>
    </row>
    <row r="183" spans="1:35" ht="15.75">
      <c r="A183" s="3" t="s">
        <v>120</v>
      </c>
      <c r="B183" s="4" t="s">
        <v>34</v>
      </c>
      <c r="C183" s="3" t="s">
        <v>2</v>
      </c>
      <c r="D183" s="26">
        <v>5302.8</v>
      </c>
      <c r="E183" s="19">
        <f t="shared" si="41"/>
        <v>22908.096</v>
      </c>
      <c r="F183" s="19">
        <f t="shared" si="42"/>
        <v>75723.984</v>
      </c>
      <c r="G183" s="19">
        <f t="shared" si="43"/>
        <v>75087.648</v>
      </c>
      <c r="H183" s="19">
        <f t="shared" si="44"/>
        <v>16544.736</v>
      </c>
      <c r="I183" s="19">
        <f t="shared" si="45"/>
        <v>3818.016</v>
      </c>
      <c r="J183" s="19">
        <f t="shared" si="46"/>
        <v>11454.048</v>
      </c>
      <c r="K183" s="19">
        <f>120*6*2</f>
        <v>1440</v>
      </c>
      <c r="L183" s="8">
        <f>144.73*3</f>
        <v>434.18999999999994</v>
      </c>
      <c r="M183" s="8"/>
      <c r="N183" s="8"/>
      <c r="O183" s="24">
        <f t="shared" si="36"/>
        <v>14582.700000000003</v>
      </c>
      <c r="P183" s="32">
        <f t="shared" si="47"/>
        <v>221993.41800000003</v>
      </c>
      <c r="Q183" s="32">
        <f aca="true" t="shared" si="52" ref="Q183:Q192">D183*1.27*5+D183*1.34*7</f>
        <v>83413.044</v>
      </c>
      <c r="R183" s="34">
        <f t="shared" si="37"/>
        <v>195673.32000000004</v>
      </c>
      <c r="S183" s="19"/>
      <c r="T183" s="19"/>
      <c r="U183" s="19"/>
      <c r="V183" s="19"/>
      <c r="W183" s="19"/>
      <c r="X183" s="19"/>
      <c r="Y183" s="32">
        <f t="shared" si="48"/>
        <v>0</v>
      </c>
      <c r="Z183" s="32">
        <f t="shared" si="38"/>
        <v>82087.344</v>
      </c>
      <c r="AA183" s="32"/>
      <c r="AB183" s="32">
        <f t="shared" si="51"/>
        <v>31180.464</v>
      </c>
      <c r="AC183" s="34">
        <f t="shared" si="39"/>
        <v>14850.240000000002</v>
      </c>
      <c r="AD183" s="8"/>
      <c r="AE183" s="8"/>
      <c r="AF183" s="34"/>
      <c r="AG183" s="32">
        <f t="shared" si="40"/>
        <v>75087.648</v>
      </c>
      <c r="AH183" s="32"/>
      <c r="AI183" s="32">
        <f t="shared" si="49"/>
        <v>704285.4780000002</v>
      </c>
    </row>
    <row r="184" spans="1:35" ht="15.75">
      <c r="A184" s="3" t="s">
        <v>120</v>
      </c>
      <c r="B184" s="4" t="s">
        <v>32</v>
      </c>
      <c r="C184" s="3" t="s">
        <v>2</v>
      </c>
      <c r="D184" s="26">
        <v>5058.2</v>
      </c>
      <c r="E184" s="19">
        <f t="shared" si="41"/>
        <v>21851.424</v>
      </c>
      <c r="F184" s="19">
        <f t="shared" si="42"/>
        <v>72231.09599999999</v>
      </c>
      <c r="G184" s="19">
        <f t="shared" si="43"/>
        <v>71624.112</v>
      </c>
      <c r="H184" s="19">
        <f t="shared" si="44"/>
        <v>15781.584</v>
      </c>
      <c r="I184" s="19">
        <f t="shared" si="45"/>
        <v>3641.9039999999995</v>
      </c>
      <c r="J184" s="19">
        <f t="shared" si="46"/>
        <v>10925.712</v>
      </c>
      <c r="K184" s="19">
        <f>107*8+107*6*2</f>
        <v>2140</v>
      </c>
      <c r="L184" s="8">
        <f>144.73*3</f>
        <v>434.18999999999994</v>
      </c>
      <c r="M184" s="8"/>
      <c r="N184" s="8"/>
      <c r="O184" s="24">
        <f t="shared" si="36"/>
        <v>13910.050000000001</v>
      </c>
      <c r="P184" s="32">
        <f t="shared" si="47"/>
        <v>212540.072</v>
      </c>
      <c r="Q184" s="32">
        <f t="shared" si="52"/>
        <v>79565.486</v>
      </c>
      <c r="R184" s="34">
        <f t="shared" si="37"/>
        <v>186647.58</v>
      </c>
      <c r="S184" s="19"/>
      <c r="T184" s="19"/>
      <c r="U184" s="19"/>
      <c r="V184" s="19"/>
      <c r="W184" s="19"/>
      <c r="X184" s="19"/>
      <c r="Y184" s="32">
        <f t="shared" si="48"/>
        <v>0</v>
      </c>
      <c r="Z184" s="32">
        <f t="shared" si="38"/>
        <v>78300.93599999999</v>
      </c>
      <c r="AA184" s="32"/>
      <c r="AB184" s="32">
        <f t="shared" si="51"/>
        <v>29742.216</v>
      </c>
      <c r="AC184" s="34">
        <f t="shared" si="39"/>
        <v>14165.359999999999</v>
      </c>
      <c r="AD184" s="8"/>
      <c r="AE184" s="8"/>
      <c r="AF184" s="34"/>
      <c r="AG184" s="32">
        <f t="shared" si="40"/>
        <v>71624.112</v>
      </c>
      <c r="AH184" s="32">
        <v>57500</v>
      </c>
      <c r="AI184" s="32">
        <f t="shared" si="49"/>
        <v>730085.7619999999</v>
      </c>
    </row>
    <row r="185" spans="1:35" ht="15.75">
      <c r="A185" s="3" t="s">
        <v>120</v>
      </c>
      <c r="B185" s="4" t="s">
        <v>124</v>
      </c>
      <c r="C185" s="3" t="s">
        <v>2</v>
      </c>
      <c r="D185" s="26">
        <v>5594</v>
      </c>
      <c r="E185" s="19">
        <f t="shared" si="41"/>
        <v>24166.079999999998</v>
      </c>
      <c r="F185" s="19">
        <f t="shared" si="42"/>
        <v>79882.31999999999</v>
      </c>
      <c r="G185" s="19">
        <f t="shared" si="43"/>
        <v>79211.04000000001</v>
      </c>
      <c r="H185" s="19">
        <f t="shared" si="44"/>
        <v>17453.28</v>
      </c>
      <c r="I185" s="19">
        <f t="shared" si="45"/>
        <v>4027.68</v>
      </c>
      <c r="J185" s="19">
        <f t="shared" si="46"/>
        <v>12083.039999999999</v>
      </c>
      <c r="K185" s="19">
        <f>105*8*4+105*6*2</f>
        <v>4620</v>
      </c>
      <c r="L185" s="8">
        <f>144.73*119</f>
        <v>17222.87</v>
      </c>
      <c r="M185" s="8"/>
      <c r="N185" s="8"/>
      <c r="O185" s="24">
        <f t="shared" si="36"/>
        <v>15383.500000000002</v>
      </c>
      <c r="P185" s="32">
        <f t="shared" si="47"/>
        <v>254049.81</v>
      </c>
      <c r="Q185" s="32">
        <f t="shared" si="52"/>
        <v>87993.62</v>
      </c>
      <c r="R185" s="34">
        <f t="shared" si="37"/>
        <v>206418.6</v>
      </c>
      <c r="S185" s="19"/>
      <c r="T185" s="19"/>
      <c r="U185" s="19"/>
      <c r="V185" s="19"/>
      <c r="W185" s="19"/>
      <c r="X185" s="19"/>
      <c r="Y185" s="32">
        <f t="shared" si="48"/>
        <v>0</v>
      </c>
      <c r="Z185" s="32">
        <f t="shared" si="38"/>
        <v>86595.12</v>
      </c>
      <c r="AA185" s="32"/>
      <c r="AB185" s="32">
        <f t="shared" si="51"/>
        <v>32892.72</v>
      </c>
      <c r="AC185" s="34">
        <f t="shared" si="39"/>
        <v>15665.599999999999</v>
      </c>
      <c r="AD185" s="8">
        <v>87512.62</v>
      </c>
      <c r="AE185" s="8">
        <v>5213.82</v>
      </c>
      <c r="AF185" s="34">
        <f>SUM(AD185:AE185)</f>
        <v>92726.44</v>
      </c>
      <c r="AG185" s="32">
        <f t="shared" si="40"/>
        <v>79211.04000000001</v>
      </c>
      <c r="AH185" s="32"/>
      <c r="AI185" s="32">
        <f t="shared" si="49"/>
        <v>855552.95</v>
      </c>
    </row>
    <row r="186" spans="1:35" ht="15.75">
      <c r="A186" s="3" t="s">
        <v>120</v>
      </c>
      <c r="B186" s="4" t="s">
        <v>125</v>
      </c>
      <c r="C186" s="3" t="s">
        <v>2</v>
      </c>
      <c r="D186" s="26">
        <v>3318.2</v>
      </c>
      <c r="E186" s="19">
        <f t="shared" si="41"/>
        <v>14334.624</v>
      </c>
      <c r="F186" s="19">
        <f t="shared" si="42"/>
        <v>47383.89599999999</v>
      </c>
      <c r="G186" s="19">
        <f t="shared" si="43"/>
        <v>46985.712</v>
      </c>
      <c r="H186" s="19">
        <f t="shared" si="44"/>
        <v>10352.784</v>
      </c>
      <c r="I186" s="19">
        <f t="shared" si="45"/>
        <v>2389.104</v>
      </c>
      <c r="J186" s="19">
        <f t="shared" si="46"/>
        <v>7167.312</v>
      </c>
      <c r="K186" s="19">
        <f>69*8*4+69*6*2</f>
        <v>3036</v>
      </c>
      <c r="L186" s="8">
        <f>144.73*3</f>
        <v>434.18999999999994</v>
      </c>
      <c r="M186" s="8"/>
      <c r="N186" s="8"/>
      <c r="O186" s="24">
        <f t="shared" si="36"/>
        <v>9125.05</v>
      </c>
      <c r="P186" s="32">
        <f t="shared" si="47"/>
        <v>141208.672</v>
      </c>
      <c r="Q186" s="32">
        <f t="shared" si="52"/>
        <v>52195.286</v>
      </c>
      <c r="R186" s="34">
        <f t="shared" si="37"/>
        <v>122441.57999999999</v>
      </c>
      <c r="S186" s="19"/>
      <c r="T186" s="19"/>
      <c r="U186" s="19"/>
      <c r="V186" s="19"/>
      <c r="W186" s="19"/>
      <c r="X186" s="19"/>
      <c r="Y186" s="32">
        <f t="shared" si="48"/>
        <v>0</v>
      </c>
      <c r="Z186" s="32">
        <f t="shared" si="38"/>
        <v>51365.736000000004</v>
      </c>
      <c r="AA186" s="32"/>
      <c r="AB186" s="32">
        <f t="shared" si="51"/>
        <v>19511.016</v>
      </c>
      <c r="AC186" s="34">
        <f t="shared" si="39"/>
        <v>9293.359999999999</v>
      </c>
      <c r="AD186" s="8"/>
      <c r="AE186" s="8"/>
      <c r="AF186" s="34"/>
      <c r="AG186" s="32">
        <f t="shared" si="40"/>
        <v>46985.712</v>
      </c>
      <c r="AH186" s="32"/>
      <c r="AI186" s="32">
        <f t="shared" si="49"/>
        <v>443001.36199999996</v>
      </c>
    </row>
    <row r="187" spans="1:35" ht="15.75">
      <c r="A187" s="3" t="s">
        <v>120</v>
      </c>
      <c r="B187" s="4" t="s">
        <v>71</v>
      </c>
      <c r="C187" s="3" t="s">
        <v>2</v>
      </c>
      <c r="D187" s="26">
        <v>2611.4</v>
      </c>
      <c r="E187" s="19">
        <f t="shared" si="41"/>
        <v>11281.248</v>
      </c>
      <c r="F187" s="19">
        <f t="shared" si="42"/>
        <v>37290.792</v>
      </c>
      <c r="G187" s="19">
        <f t="shared" si="43"/>
        <v>36977.424</v>
      </c>
      <c r="H187" s="19">
        <f t="shared" si="44"/>
        <v>8147.568000000001</v>
      </c>
      <c r="I187" s="19">
        <f t="shared" si="45"/>
        <v>1880.208</v>
      </c>
      <c r="J187" s="19">
        <f t="shared" si="46"/>
        <v>5640.624</v>
      </c>
      <c r="K187" s="19">
        <f>64*6*2</f>
        <v>768</v>
      </c>
      <c r="L187" s="8">
        <f>144.73*74</f>
        <v>10710.019999999999</v>
      </c>
      <c r="M187" s="8"/>
      <c r="N187" s="8"/>
      <c r="O187" s="24">
        <f t="shared" si="36"/>
        <v>7181.350000000001</v>
      </c>
      <c r="P187" s="32">
        <f t="shared" si="47"/>
        <v>119877.23400000001</v>
      </c>
      <c r="Q187" s="32">
        <f t="shared" si="52"/>
        <v>41077.322</v>
      </c>
      <c r="R187" s="34">
        <f t="shared" si="37"/>
        <v>96360.66</v>
      </c>
      <c r="S187" s="19"/>
      <c r="T187" s="19"/>
      <c r="U187" s="19"/>
      <c r="V187" s="19"/>
      <c r="W187" s="19"/>
      <c r="X187" s="19"/>
      <c r="Y187" s="32">
        <f t="shared" si="48"/>
        <v>0</v>
      </c>
      <c r="Z187" s="32">
        <f t="shared" si="38"/>
        <v>40424.472</v>
      </c>
      <c r="AA187" s="32"/>
      <c r="AB187" s="32">
        <f t="shared" si="51"/>
        <v>15355.032</v>
      </c>
      <c r="AC187" s="34">
        <f t="shared" si="39"/>
        <v>7314.320000000001</v>
      </c>
      <c r="AD187" s="8"/>
      <c r="AE187" s="8"/>
      <c r="AF187" s="34"/>
      <c r="AG187" s="32">
        <f t="shared" si="40"/>
        <v>36977.424</v>
      </c>
      <c r="AH187" s="32"/>
      <c r="AI187" s="32">
        <f t="shared" si="49"/>
        <v>357386.46400000004</v>
      </c>
    </row>
    <row r="188" spans="1:35" ht="15.75">
      <c r="A188" s="3" t="s">
        <v>120</v>
      </c>
      <c r="B188" s="4" t="s">
        <v>81</v>
      </c>
      <c r="C188" s="3" t="s">
        <v>66</v>
      </c>
      <c r="D188" s="26">
        <v>6190.9</v>
      </c>
      <c r="E188" s="19">
        <f t="shared" si="41"/>
        <v>26744.687999999995</v>
      </c>
      <c r="F188" s="19">
        <f t="shared" si="42"/>
        <v>88406.052</v>
      </c>
      <c r="G188" s="19">
        <f t="shared" si="43"/>
        <v>87663.14399999999</v>
      </c>
      <c r="H188" s="19">
        <f t="shared" si="44"/>
        <v>19315.608</v>
      </c>
      <c r="I188" s="19">
        <f t="shared" si="45"/>
        <v>4457.447999999999</v>
      </c>
      <c r="J188" s="19">
        <f t="shared" si="46"/>
        <v>13372.343999999997</v>
      </c>
      <c r="K188" s="19">
        <f>128*8+128*6*2</f>
        <v>2560</v>
      </c>
      <c r="L188" s="8">
        <f>144.73*2</f>
        <v>289.46</v>
      </c>
      <c r="M188" s="8"/>
      <c r="N188" s="8"/>
      <c r="O188" s="24">
        <f t="shared" si="36"/>
        <v>17024.975</v>
      </c>
      <c r="P188" s="32">
        <f t="shared" si="47"/>
        <v>259833.71899999998</v>
      </c>
      <c r="Q188" s="32">
        <f t="shared" si="52"/>
        <v>97382.857</v>
      </c>
      <c r="R188" s="34">
        <f t="shared" si="37"/>
        <v>228444.20999999996</v>
      </c>
      <c r="S188" s="19"/>
      <c r="T188" s="19"/>
      <c r="U188" s="19"/>
      <c r="V188" s="19"/>
      <c r="W188" s="19"/>
      <c r="X188" s="19"/>
      <c r="Y188" s="32">
        <f t="shared" si="48"/>
        <v>0</v>
      </c>
      <c r="Z188" s="32">
        <f t="shared" si="38"/>
        <v>95835.132</v>
      </c>
      <c r="AA188" s="32"/>
      <c r="AB188" s="32">
        <f t="shared" si="51"/>
        <v>36402.492</v>
      </c>
      <c r="AC188" s="34">
        <f t="shared" si="39"/>
        <v>17336.920000000002</v>
      </c>
      <c r="AD188" s="8"/>
      <c r="AE188" s="8"/>
      <c r="AF188" s="34"/>
      <c r="AG188" s="32">
        <f t="shared" si="40"/>
        <v>87663.14399999999</v>
      </c>
      <c r="AH188" s="32"/>
      <c r="AI188" s="32">
        <f t="shared" si="49"/>
        <v>822898.4739999999</v>
      </c>
    </row>
    <row r="189" spans="1:35" ht="15.75">
      <c r="A189" s="3" t="s">
        <v>120</v>
      </c>
      <c r="B189" s="4" t="s">
        <v>39</v>
      </c>
      <c r="C189" s="3" t="s">
        <v>2</v>
      </c>
      <c r="D189" s="26">
        <v>4987.6</v>
      </c>
      <c r="E189" s="19">
        <f t="shared" si="41"/>
        <v>21546.432</v>
      </c>
      <c r="F189" s="19">
        <f t="shared" si="42"/>
        <v>71222.92800000001</v>
      </c>
      <c r="G189" s="19">
        <f t="shared" si="43"/>
        <v>70624.416</v>
      </c>
      <c r="H189" s="19">
        <f t="shared" si="44"/>
        <v>15561.312000000002</v>
      </c>
      <c r="I189" s="19">
        <f t="shared" si="45"/>
        <v>3591.072</v>
      </c>
      <c r="J189" s="19">
        <f t="shared" si="46"/>
        <v>10773.216</v>
      </c>
      <c r="K189" s="19">
        <f>104*8+104*6*2</f>
        <v>2080</v>
      </c>
      <c r="L189" s="8">
        <f>144.73*2</f>
        <v>289.46</v>
      </c>
      <c r="M189" s="8"/>
      <c r="N189" s="8"/>
      <c r="O189" s="24">
        <f t="shared" si="36"/>
        <v>13715.900000000001</v>
      </c>
      <c r="P189" s="32">
        <f t="shared" si="47"/>
        <v>209404.73600000003</v>
      </c>
      <c r="Q189" s="32">
        <f t="shared" si="52"/>
        <v>78454.948</v>
      </c>
      <c r="R189" s="34">
        <f t="shared" si="37"/>
        <v>184042.44</v>
      </c>
      <c r="S189" s="19"/>
      <c r="T189" s="19"/>
      <c r="U189" s="19"/>
      <c r="V189" s="19"/>
      <c r="W189" s="19"/>
      <c r="X189" s="19"/>
      <c r="Y189" s="32">
        <f t="shared" si="48"/>
        <v>0</v>
      </c>
      <c r="Z189" s="32">
        <f t="shared" si="38"/>
        <v>77208.04800000001</v>
      </c>
      <c r="AA189" s="32"/>
      <c r="AB189" s="32">
        <f t="shared" si="51"/>
        <v>29327.088</v>
      </c>
      <c r="AC189" s="34">
        <f t="shared" si="39"/>
        <v>13967.68</v>
      </c>
      <c r="AD189" s="8"/>
      <c r="AE189" s="8"/>
      <c r="AF189" s="34"/>
      <c r="AG189" s="32">
        <f t="shared" si="40"/>
        <v>70624.416</v>
      </c>
      <c r="AH189" s="32"/>
      <c r="AI189" s="32">
        <f t="shared" si="49"/>
        <v>663029.356</v>
      </c>
    </row>
    <row r="190" spans="1:35" ht="15.75">
      <c r="A190" s="3" t="s">
        <v>120</v>
      </c>
      <c r="B190" s="4" t="s">
        <v>126</v>
      </c>
      <c r="C190" s="3" t="s">
        <v>2</v>
      </c>
      <c r="D190" s="26">
        <v>4396.2</v>
      </c>
      <c r="E190" s="19">
        <f t="shared" si="41"/>
        <v>18991.584</v>
      </c>
      <c r="F190" s="19">
        <f t="shared" si="42"/>
        <v>62777.73599999999</v>
      </c>
      <c r="G190" s="19">
        <f t="shared" si="43"/>
        <v>62250.191999999995</v>
      </c>
      <c r="H190" s="19">
        <f t="shared" si="44"/>
        <v>13716.144</v>
      </c>
      <c r="I190" s="19">
        <f t="shared" si="45"/>
        <v>3165.264</v>
      </c>
      <c r="J190" s="19">
        <f t="shared" si="46"/>
        <v>9495.792</v>
      </c>
      <c r="K190" s="19">
        <f>97*6*2</f>
        <v>1164</v>
      </c>
      <c r="L190" s="8">
        <f>144.73*3</f>
        <v>434.18999999999994</v>
      </c>
      <c r="M190" s="8"/>
      <c r="N190" s="8"/>
      <c r="O190" s="24">
        <f t="shared" si="36"/>
        <v>12089.550000000001</v>
      </c>
      <c r="P190" s="32">
        <f t="shared" si="47"/>
        <v>184084.45199999996</v>
      </c>
      <c r="Q190" s="32">
        <f t="shared" si="52"/>
        <v>69152.226</v>
      </c>
      <c r="R190" s="34">
        <f t="shared" si="37"/>
        <v>162219.77999999997</v>
      </c>
      <c r="S190" s="19">
        <f>20*120</f>
        <v>2400</v>
      </c>
      <c r="T190" s="19"/>
      <c r="U190" s="19"/>
      <c r="V190" s="19"/>
      <c r="W190" s="19"/>
      <c r="X190" s="19"/>
      <c r="Y190" s="32">
        <f t="shared" si="48"/>
        <v>2400</v>
      </c>
      <c r="Z190" s="32">
        <f t="shared" si="38"/>
        <v>68053.176</v>
      </c>
      <c r="AA190" s="32"/>
      <c r="AB190" s="32">
        <f t="shared" si="51"/>
        <v>25849.656</v>
      </c>
      <c r="AC190" s="34">
        <f t="shared" si="39"/>
        <v>12311.76</v>
      </c>
      <c r="AD190" s="8"/>
      <c r="AE190" s="8"/>
      <c r="AF190" s="34"/>
      <c r="AG190" s="32">
        <f t="shared" si="40"/>
        <v>62250.191999999995</v>
      </c>
      <c r="AH190" s="32">
        <v>57500</v>
      </c>
      <c r="AI190" s="32">
        <f t="shared" si="49"/>
        <v>643821.242</v>
      </c>
    </row>
    <row r="191" spans="1:35" ht="15.75">
      <c r="A191" s="3" t="s">
        <v>120</v>
      </c>
      <c r="B191" s="4" t="s">
        <v>127</v>
      </c>
      <c r="C191" s="3" t="s">
        <v>2</v>
      </c>
      <c r="D191" s="26">
        <v>4974</v>
      </c>
      <c r="E191" s="19">
        <f t="shared" si="41"/>
        <v>21487.68</v>
      </c>
      <c r="F191" s="19">
        <f t="shared" si="42"/>
        <v>71028.72</v>
      </c>
      <c r="G191" s="19">
        <f t="shared" si="43"/>
        <v>70431.84</v>
      </c>
      <c r="H191" s="19">
        <f t="shared" si="44"/>
        <v>15518.880000000001</v>
      </c>
      <c r="I191" s="19">
        <f t="shared" si="45"/>
        <v>3581.2799999999997</v>
      </c>
      <c r="J191" s="19">
        <f t="shared" si="46"/>
        <v>10743.84</v>
      </c>
      <c r="K191" s="19">
        <f>104*6*2</f>
        <v>1248</v>
      </c>
      <c r="L191" s="8">
        <f>144.73*2</f>
        <v>289.46</v>
      </c>
      <c r="M191" s="8"/>
      <c r="N191" s="8"/>
      <c r="O191" s="24">
        <f t="shared" si="36"/>
        <v>13678.500000000002</v>
      </c>
      <c r="P191" s="32">
        <f t="shared" si="47"/>
        <v>208008.19999999998</v>
      </c>
      <c r="Q191" s="32">
        <f t="shared" si="52"/>
        <v>78241.02</v>
      </c>
      <c r="R191" s="34">
        <f t="shared" si="37"/>
        <v>183540.6</v>
      </c>
      <c r="S191" s="19"/>
      <c r="T191" s="19"/>
      <c r="U191" s="19"/>
      <c r="V191" s="19"/>
      <c r="W191" s="19"/>
      <c r="X191" s="19"/>
      <c r="Y191" s="32">
        <f t="shared" si="48"/>
        <v>0</v>
      </c>
      <c r="Z191" s="32">
        <f t="shared" si="38"/>
        <v>76997.52</v>
      </c>
      <c r="AA191" s="32"/>
      <c r="AB191" s="32">
        <f t="shared" si="51"/>
        <v>29247.119999999995</v>
      </c>
      <c r="AC191" s="34">
        <f t="shared" si="39"/>
        <v>13929.6</v>
      </c>
      <c r="AD191" s="8"/>
      <c r="AE191" s="8"/>
      <c r="AF191" s="34"/>
      <c r="AG191" s="32">
        <f t="shared" si="40"/>
        <v>70431.84</v>
      </c>
      <c r="AH191" s="32"/>
      <c r="AI191" s="32">
        <f t="shared" si="49"/>
        <v>660395.8999999999</v>
      </c>
    </row>
    <row r="192" spans="1:35" ht="15.75">
      <c r="A192" s="3" t="s">
        <v>120</v>
      </c>
      <c r="B192" s="4" t="s">
        <v>9</v>
      </c>
      <c r="C192" s="3" t="s">
        <v>2</v>
      </c>
      <c r="D192" s="26">
        <v>6176.6</v>
      </c>
      <c r="E192" s="19">
        <f t="shared" si="41"/>
        <v>26682.912</v>
      </c>
      <c r="F192" s="19">
        <f t="shared" si="42"/>
        <v>88201.848</v>
      </c>
      <c r="G192" s="19">
        <f t="shared" si="43"/>
        <v>87460.656</v>
      </c>
      <c r="H192" s="19">
        <f t="shared" si="44"/>
        <v>19270.992000000002</v>
      </c>
      <c r="I192" s="19">
        <f t="shared" si="45"/>
        <v>4447.152</v>
      </c>
      <c r="J192" s="19">
        <f t="shared" si="46"/>
        <v>13341.456</v>
      </c>
      <c r="K192" s="19">
        <f>128*8*4+128*6*2</f>
        <v>5632</v>
      </c>
      <c r="L192" s="8">
        <f>144.73*3</f>
        <v>434.18999999999994</v>
      </c>
      <c r="M192" s="8"/>
      <c r="N192" s="8"/>
      <c r="O192" s="24">
        <f t="shared" si="36"/>
        <v>16985.65</v>
      </c>
      <c r="P192" s="32">
        <f t="shared" si="47"/>
        <v>262456.856</v>
      </c>
      <c r="Q192" s="32">
        <f t="shared" si="52"/>
        <v>97157.918</v>
      </c>
      <c r="R192" s="34">
        <f t="shared" si="37"/>
        <v>227916.54000000004</v>
      </c>
      <c r="S192" s="19"/>
      <c r="T192" s="19"/>
      <c r="U192" s="19"/>
      <c r="V192" s="19"/>
      <c r="W192" s="19"/>
      <c r="X192" s="19"/>
      <c r="Y192" s="32">
        <f t="shared" si="48"/>
        <v>0</v>
      </c>
      <c r="Z192" s="32">
        <f t="shared" si="38"/>
        <v>95613.76800000001</v>
      </c>
      <c r="AA192" s="32"/>
      <c r="AB192" s="32">
        <f t="shared" si="51"/>
        <v>36318.408</v>
      </c>
      <c r="AC192" s="34">
        <f t="shared" si="39"/>
        <v>17296.880000000005</v>
      </c>
      <c r="AD192" s="8"/>
      <c r="AE192" s="8"/>
      <c r="AF192" s="34"/>
      <c r="AG192" s="32">
        <f t="shared" si="40"/>
        <v>87460.656</v>
      </c>
      <c r="AH192" s="32">
        <v>57500</v>
      </c>
      <c r="AI192" s="32">
        <f t="shared" si="49"/>
        <v>881721.0260000001</v>
      </c>
    </row>
    <row r="193" spans="1:35" ht="15.75">
      <c r="A193" s="3" t="s">
        <v>120</v>
      </c>
      <c r="B193" s="4" t="s">
        <v>72</v>
      </c>
      <c r="C193" s="3" t="s">
        <v>2</v>
      </c>
      <c r="D193" s="26">
        <v>1164.7</v>
      </c>
      <c r="E193" s="19">
        <f t="shared" si="41"/>
        <v>5031.504</v>
      </c>
      <c r="F193" s="19">
        <f t="shared" si="42"/>
        <v>16631.915999999997</v>
      </c>
      <c r="G193" s="19">
        <f t="shared" si="43"/>
        <v>16492.152000000002</v>
      </c>
      <c r="H193" s="19">
        <f t="shared" si="44"/>
        <v>3633.864</v>
      </c>
      <c r="I193" s="19">
        <f t="shared" si="45"/>
        <v>838.5840000000001</v>
      </c>
      <c r="J193" s="19">
        <f t="shared" si="46"/>
        <v>2515.752</v>
      </c>
      <c r="K193" s="19">
        <f>10*8*4+10*6*2</f>
        <v>440</v>
      </c>
      <c r="L193" s="8">
        <f>144.73*16</f>
        <v>2315.68</v>
      </c>
      <c r="M193" s="8"/>
      <c r="N193" s="8"/>
      <c r="O193" s="24">
        <f t="shared" si="36"/>
        <v>3202.925</v>
      </c>
      <c r="P193" s="32">
        <f t="shared" si="47"/>
        <v>51102.37700000001</v>
      </c>
      <c r="Q193" s="32"/>
      <c r="R193" s="34">
        <f t="shared" si="37"/>
        <v>42977.43000000001</v>
      </c>
      <c r="S193" s="19"/>
      <c r="T193" s="19"/>
      <c r="U193" s="19"/>
      <c r="V193" s="19">
        <f>156*150</f>
        <v>23400</v>
      </c>
      <c r="W193" s="19">
        <f>10*220</f>
        <v>2200</v>
      </c>
      <c r="X193" s="19"/>
      <c r="Y193" s="32">
        <f t="shared" si="48"/>
        <v>25600</v>
      </c>
      <c r="Z193" s="32">
        <f t="shared" si="38"/>
        <v>18029.556000000004</v>
      </c>
      <c r="AA193" s="32"/>
      <c r="AB193" s="32">
        <f t="shared" si="51"/>
        <v>6848.436</v>
      </c>
      <c r="AC193" s="34">
        <f t="shared" si="39"/>
        <v>3263.5600000000004</v>
      </c>
      <c r="AD193" s="8"/>
      <c r="AE193" s="8"/>
      <c r="AF193" s="34"/>
      <c r="AG193" s="32">
        <f t="shared" si="40"/>
        <v>16492.152000000002</v>
      </c>
      <c r="AH193" s="32">
        <v>57500</v>
      </c>
      <c r="AI193" s="32">
        <f t="shared" si="49"/>
        <v>221813.511</v>
      </c>
    </row>
    <row r="194" spans="1:35" ht="15.75">
      <c r="A194" s="3" t="s">
        <v>120</v>
      </c>
      <c r="B194" s="4" t="s">
        <v>91</v>
      </c>
      <c r="C194" s="3" t="s">
        <v>111</v>
      </c>
      <c r="D194" s="26">
        <v>3478.3</v>
      </c>
      <c r="E194" s="19">
        <f t="shared" si="41"/>
        <v>15026.256000000001</v>
      </c>
      <c r="F194" s="19">
        <f t="shared" si="42"/>
        <v>49670.123999999996</v>
      </c>
      <c r="G194" s="19">
        <f t="shared" si="43"/>
        <v>49252.728</v>
      </c>
      <c r="H194" s="19">
        <f t="shared" si="44"/>
        <v>10852.296</v>
      </c>
      <c r="I194" s="19">
        <f t="shared" si="45"/>
        <v>2504.376</v>
      </c>
      <c r="J194" s="19">
        <f t="shared" si="46"/>
        <v>7513.128000000001</v>
      </c>
      <c r="K194" s="19">
        <f>75*6*2</f>
        <v>900</v>
      </c>
      <c r="L194" s="8">
        <f>144.73*87</f>
        <v>12591.509999999998</v>
      </c>
      <c r="M194" s="8"/>
      <c r="N194" s="8"/>
      <c r="O194" s="24">
        <f t="shared" si="36"/>
        <v>9565.325</v>
      </c>
      <c r="P194" s="32">
        <f t="shared" si="47"/>
        <v>157875.74300000005</v>
      </c>
      <c r="Q194" s="32">
        <f>D194*1.27*5+D194*1.34*7</f>
        <v>54713.65900000001</v>
      </c>
      <c r="R194" s="34">
        <f t="shared" si="37"/>
        <v>128349.27000000002</v>
      </c>
      <c r="S194" s="19"/>
      <c r="T194" s="19"/>
      <c r="U194" s="19"/>
      <c r="V194" s="19"/>
      <c r="W194" s="19"/>
      <c r="X194" s="19"/>
      <c r="Y194" s="32">
        <f t="shared" si="48"/>
        <v>0</v>
      </c>
      <c r="Z194" s="32">
        <f t="shared" si="38"/>
        <v>53844.084</v>
      </c>
      <c r="AA194" s="32"/>
      <c r="AB194" s="32">
        <f t="shared" si="51"/>
        <v>20452.404</v>
      </c>
      <c r="AC194" s="34">
        <f t="shared" si="39"/>
        <v>9741.640000000001</v>
      </c>
      <c r="AD194" s="8"/>
      <c r="AE194" s="8"/>
      <c r="AF194" s="34"/>
      <c r="AG194" s="32">
        <f t="shared" si="40"/>
        <v>49252.728</v>
      </c>
      <c r="AH194" s="32"/>
      <c r="AI194" s="32">
        <f t="shared" si="49"/>
        <v>474229.52800000005</v>
      </c>
    </row>
    <row r="195" spans="1:35" ht="15.75">
      <c r="A195" s="3" t="s">
        <v>120</v>
      </c>
      <c r="B195" s="4" t="s">
        <v>46</v>
      </c>
      <c r="C195" s="3" t="s">
        <v>66</v>
      </c>
      <c r="D195" s="26">
        <v>14044.8</v>
      </c>
      <c r="E195" s="19">
        <f t="shared" si="41"/>
        <v>60673.53599999999</v>
      </c>
      <c r="F195" s="19">
        <f t="shared" si="42"/>
        <v>200559.74399999998</v>
      </c>
      <c r="G195" s="19">
        <f t="shared" si="43"/>
        <v>198874.36799999996</v>
      </c>
      <c r="H195" s="19">
        <f t="shared" si="44"/>
        <v>43819.776</v>
      </c>
      <c r="I195" s="19">
        <f t="shared" si="45"/>
        <v>10112.255999999998</v>
      </c>
      <c r="J195" s="19">
        <f t="shared" si="46"/>
        <v>30336.767999999996</v>
      </c>
      <c r="K195" s="19">
        <f>251*6*2</f>
        <v>3012</v>
      </c>
      <c r="L195" s="8">
        <f>144.73*269</f>
        <v>38932.369999999995</v>
      </c>
      <c r="M195" s="8">
        <f>7*142.42*1.5</f>
        <v>1495.4099999999999</v>
      </c>
      <c r="N195" s="8"/>
      <c r="O195" s="24">
        <f aca="true" t="shared" si="53" ref="O195:O255">D195*0.55*5</f>
        <v>38623.200000000004</v>
      </c>
      <c r="P195" s="32">
        <f t="shared" si="47"/>
        <v>626439.428</v>
      </c>
      <c r="Q195" s="32">
        <f>D195*1.27*5+D195*1.34*7</f>
        <v>220924.704</v>
      </c>
      <c r="R195" s="34">
        <f aca="true" t="shared" si="54" ref="R195:R255">D195*3.18*5+D195*3*7</f>
        <v>518253.11999999994</v>
      </c>
      <c r="S195" s="19"/>
      <c r="T195" s="19"/>
      <c r="U195" s="19"/>
      <c r="V195" s="19"/>
      <c r="W195" s="19"/>
      <c r="X195" s="19"/>
      <c r="Y195" s="32">
        <f t="shared" si="48"/>
        <v>0</v>
      </c>
      <c r="Z195" s="32">
        <f aca="true" t="shared" si="55" ref="Z195:Z255">D195*1.29*12</f>
        <v>217413.50400000002</v>
      </c>
      <c r="AA195" s="32">
        <f>D195*1.01*5+0.96*D195*7</f>
        <v>165307.29599999997</v>
      </c>
      <c r="AB195" s="32">
        <f t="shared" si="51"/>
        <v>82583.424</v>
      </c>
      <c r="AC195" s="34">
        <f aca="true" t="shared" si="56" ref="AC195:AC255">D195*0.4*7+0.48*5</f>
        <v>39327.840000000004</v>
      </c>
      <c r="AD195" s="8">
        <v>210728.62</v>
      </c>
      <c r="AE195" s="8">
        <v>12165.58</v>
      </c>
      <c r="AF195" s="34">
        <f>SUM(AD195:AE195)</f>
        <v>222894.19999999998</v>
      </c>
      <c r="AG195" s="32">
        <f aca="true" t="shared" si="57" ref="AG195:AG255">D195*1.18*12</f>
        <v>198874.36799999996</v>
      </c>
      <c r="AH195" s="32"/>
      <c r="AI195" s="32">
        <f t="shared" si="49"/>
        <v>2292017.8839999996</v>
      </c>
    </row>
    <row r="196" spans="1:35" ht="15.75">
      <c r="A196" s="3" t="s">
        <v>120</v>
      </c>
      <c r="B196" s="4" t="s">
        <v>47</v>
      </c>
      <c r="C196" s="3" t="s">
        <v>66</v>
      </c>
      <c r="D196" s="26">
        <v>16045.9</v>
      </c>
      <c r="E196" s="19">
        <f aca="true" t="shared" si="58" ref="E196:E255">D196*0.36*12</f>
        <v>69318.288</v>
      </c>
      <c r="F196" s="19">
        <f aca="true" t="shared" si="59" ref="F196:F255">D196*1.19*12</f>
        <v>229135.452</v>
      </c>
      <c r="G196" s="19">
        <f aca="true" t="shared" si="60" ref="G196:G255">D196*1.18*12</f>
        <v>227209.94400000002</v>
      </c>
      <c r="H196" s="19">
        <f aca="true" t="shared" si="61" ref="H196:H255">D196*0.26*12</f>
        <v>50063.208</v>
      </c>
      <c r="I196" s="19">
        <f aca="true" t="shared" si="62" ref="I196:I255">D196*0.06*12</f>
        <v>11553.047999999999</v>
      </c>
      <c r="J196" s="19">
        <f aca="true" t="shared" si="63" ref="J196:J255">D196*0.18*12</f>
        <v>34659.144</v>
      </c>
      <c r="K196" s="19">
        <f>323*6*2</f>
        <v>3876</v>
      </c>
      <c r="L196" s="8">
        <f>144.73*2</f>
        <v>289.46</v>
      </c>
      <c r="M196" s="8">
        <f>9*142.42*1.5</f>
        <v>1922.67</v>
      </c>
      <c r="N196" s="8"/>
      <c r="O196" s="24">
        <f t="shared" si="53"/>
        <v>44126.225000000006</v>
      </c>
      <c r="P196" s="32">
        <f aca="true" t="shared" si="64" ref="P196:P255">SUM(E196:O196)</f>
        <v>672153.4389999999</v>
      </c>
      <c r="Q196" s="32">
        <f>D196*1.27*5+D196*1.34*7</f>
        <v>252402.00700000004</v>
      </c>
      <c r="R196" s="34">
        <f t="shared" si="54"/>
        <v>592093.71</v>
      </c>
      <c r="S196" s="19"/>
      <c r="T196" s="19"/>
      <c r="U196" s="19"/>
      <c r="V196" s="19"/>
      <c r="W196" s="19"/>
      <c r="X196" s="19"/>
      <c r="Y196" s="32">
        <f aca="true" t="shared" si="65" ref="Y196:Y255">SUM(S196:X196)</f>
        <v>0</v>
      </c>
      <c r="Z196" s="32">
        <f t="shared" si="55"/>
        <v>248390.532</v>
      </c>
      <c r="AA196" s="32">
        <f>D196*1.01*5+0.96*D196*7</f>
        <v>188860.243</v>
      </c>
      <c r="AB196" s="32">
        <f t="shared" si="51"/>
        <v>94349.89199999999</v>
      </c>
      <c r="AC196" s="34">
        <f t="shared" si="56"/>
        <v>44930.920000000006</v>
      </c>
      <c r="AD196" s="8">
        <v>270936.8</v>
      </c>
      <c r="AE196" s="8">
        <v>15641.45</v>
      </c>
      <c r="AF196" s="34">
        <f>SUM(AD196:AE196)</f>
        <v>286578.25</v>
      </c>
      <c r="AG196" s="32">
        <f t="shared" si="57"/>
        <v>227209.94400000002</v>
      </c>
      <c r="AH196" s="32"/>
      <c r="AI196" s="32">
        <f aca="true" t="shared" si="66" ref="AI196:AI255">P196+Q196+R196+Y196+Z196+AA196+AB196+AC196+AF196+AG196+AH196</f>
        <v>2606968.937</v>
      </c>
    </row>
    <row r="197" spans="1:35" ht="15.75">
      <c r="A197" s="3" t="s">
        <v>120</v>
      </c>
      <c r="B197" s="4" t="s">
        <v>47</v>
      </c>
      <c r="C197" s="3" t="s">
        <v>111</v>
      </c>
      <c r="D197" s="26">
        <v>19874.5</v>
      </c>
      <c r="E197" s="19">
        <f t="shared" si="58"/>
        <v>85857.84</v>
      </c>
      <c r="F197" s="19">
        <f t="shared" si="59"/>
        <v>283807.86</v>
      </c>
      <c r="G197" s="19">
        <f t="shared" si="60"/>
        <v>281422.92</v>
      </c>
      <c r="H197" s="19">
        <f t="shared" si="61"/>
        <v>62008.44</v>
      </c>
      <c r="I197" s="19">
        <f t="shared" si="62"/>
        <v>14309.64</v>
      </c>
      <c r="J197" s="19">
        <f t="shared" si="63"/>
        <v>42928.92</v>
      </c>
      <c r="K197" s="19">
        <f>394*6*2</f>
        <v>4728</v>
      </c>
      <c r="L197" s="8">
        <f>144.73*2</f>
        <v>289.46</v>
      </c>
      <c r="M197" s="8">
        <f>11*142.42*1.5</f>
        <v>2349.93</v>
      </c>
      <c r="N197" s="8"/>
      <c r="O197" s="24">
        <f t="shared" si="53"/>
        <v>54654.875</v>
      </c>
      <c r="P197" s="32">
        <f t="shared" si="64"/>
        <v>832357.8849999999</v>
      </c>
      <c r="Q197" s="32">
        <f>D197*1.27*5+D197*1.34*7</f>
        <v>312625.885</v>
      </c>
      <c r="R197" s="34">
        <f t="shared" si="54"/>
        <v>733369.05</v>
      </c>
      <c r="S197" s="19"/>
      <c r="T197" s="19"/>
      <c r="U197" s="19"/>
      <c r="V197" s="19"/>
      <c r="W197" s="19"/>
      <c r="X197" s="19"/>
      <c r="Y197" s="32">
        <f t="shared" si="65"/>
        <v>0</v>
      </c>
      <c r="Z197" s="32">
        <f t="shared" si="55"/>
        <v>307657.26</v>
      </c>
      <c r="AA197" s="32">
        <f>D197*1.01*5+0.96*D197*7</f>
        <v>233922.865</v>
      </c>
      <c r="AB197" s="32">
        <f t="shared" si="51"/>
        <v>116862.06</v>
      </c>
      <c r="AC197" s="34">
        <f t="shared" si="56"/>
        <v>55651</v>
      </c>
      <c r="AD197" s="8">
        <v>331144.98</v>
      </c>
      <c r="AE197" s="8">
        <v>19117.33</v>
      </c>
      <c r="AF197" s="34">
        <f>SUM(AD197:AE197)</f>
        <v>350262.31</v>
      </c>
      <c r="AG197" s="32">
        <f t="shared" si="57"/>
        <v>281422.92</v>
      </c>
      <c r="AH197" s="32"/>
      <c r="AI197" s="32">
        <f t="shared" si="66"/>
        <v>3224131.2350000003</v>
      </c>
    </row>
    <row r="198" spans="1:35" ht="15.75">
      <c r="A198" s="3" t="s">
        <v>120</v>
      </c>
      <c r="B198" s="4" t="s">
        <v>128</v>
      </c>
      <c r="C198" s="3" t="s">
        <v>2</v>
      </c>
      <c r="D198" s="26">
        <v>946.7</v>
      </c>
      <c r="E198" s="19">
        <f t="shared" si="58"/>
        <v>4089.744</v>
      </c>
      <c r="F198" s="19">
        <f t="shared" si="59"/>
        <v>13518.876</v>
      </c>
      <c r="G198" s="19">
        <f t="shared" si="60"/>
        <v>13405.272</v>
      </c>
      <c r="H198" s="19">
        <f t="shared" si="61"/>
        <v>2953.704</v>
      </c>
      <c r="I198" s="19">
        <f t="shared" si="62"/>
        <v>681.624</v>
      </c>
      <c r="J198" s="19">
        <f t="shared" si="63"/>
        <v>2044.872</v>
      </c>
      <c r="K198" s="19">
        <f>24*8*4+24*6*2</f>
        <v>1056</v>
      </c>
      <c r="L198" s="8">
        <f>144.73*30</f>
        <v>4341.9</v>
      </c>
      <c r="M198" s="8"/>
      <c r="N198" s="8"/>
      <c r="O198" s="24">
        <f t="shared" si="53"/>
        <v>2603.425</v>
      </c>
      <c r="P198" s="32">
        <f t="shared" si="64"/>
        <v>44695.41700000001</v>
      </c>
      <c r="Q198" s="32"/>
      <c r="R198" s="34">
        <f t="shared" si="54"/>
        <v>34933.23000000001</v>
      </c>
      <c r="S198" s="19"/>
      <c r="T198" s="19"/>
      <c r="U198" s="19"/>
      <c r="V198" s="19"/>
      <c r="W198" s="19"/>
      <c r="X198" s="19">
        <v>2000</v>
      </c>
      <c r="Y198" s="32">
        <f t="shared" si="65"/>
        <v>2000</v>
      </c>
      <c r="Z198" s="32">
        <f t="shared" si="55"/>
        <v>14654.916000000001</v>
      </c>
      <c r="AA198" s="32"/>
      <c r="AB198" s="32">
        <f t="shared" si="51"/>
        <v>5566.5960000000005</v>
      </c>
      <c r="AC198" s="34">
        <f t="shared" si="56"/>
        <v>2653.1600000000003</v>
      </c>
      <c r="AD198" s="8"/>
      <c r="AE198" s="8"/>
      <c r="AF198" s="34"/>
      <c r="AG198" s="32">
        <f t="shared" si="57"/>
        <v>13405.272</v>
      </c>
      <c r="AH198" s="32">
        <v>57500</v>
      </c>
      <c r="AI198" s="32">
        <f t="shared" si="66"/>
        <v>175408.59100000001</v>
      </c>
    </row>
    <row r="199" spans="1:35" ht="15.75">
      <c r="A199" s="3" t="s">
        <v>120</v>
      </c>
      <c r="B199" s="4" t="s">
        <v>3</v>
      </c>
      <c r="C199" s="3" t="s">
        <v>2</v>
      </c>
      <c r="D199" s="26">
        <v>1502.6</v>
      </c>
      <c r="E199" s="19">
        <f t="shared" si="58"/>
        <v>6491.231999999999</v>
      </c>
      <c r="F199" s="19">
        <f t="shared" si="59"/>
        <v>21457.127999999997</v>
      </c>
      <c r="G199" s="19">
        <f t="shared" si="60"/>
        <v>21276.816</v>
      </c>
      <c r="H199" s="19">
        <f t="shared" si="61"/>
        <v>4688.112</v>
      </c>
      <c r="I199" s="19">
        <f t="shared" si="62"/>
        <v>1081.8719999999998</v>
      </c>
      <c r="J199" s="19">
        <f t="shared" si="63"/>
        <v>3245.6159999999995</v>
      </c>
      <c r="K199" s="19">
        <f>36*8*4+36*6*2</f>
        <v>1584</v>
      </c>
      <c r="L199" s="8">
        <f>144.73*33</f>
        <v>4776.089999999999</v>
      </c>
      <c r="M199" s="8"/>
      <c r="N199" s="8">
        <f>878*20.77</f>
        <v>18236.06</v>
      </c>
      <c r="O199" s="24">
        <f t="shared" si="53"/>
        <v>4132.150000000001</v>
      </c>
      <c r="P199" s="32">
        <f t="shared" si="64"/>
        <v>86969.07599999999</v>
      </c>
      <c r="Q199" s="32"/>
      <c r="R199" s="34">
        <f t="shared" si="54"/>
        <v>55445.939999999995</v>
      </c>
      <c r="S199" s="19"/>
      <c r="T199" s="19"/>
      <c r="U199" s="19"/>
      <c r="V199" s="19"/>
      <c r="W199" s="19">
        <f>2*220</f>
        <v>440</v>
      </c>
      <c r="X199" s="19"/>
      <c r="Y199" s="32">
        <f t="shared" si="65"/>
        <v>440</v>
      </c>
      <c r="Z199" s="32">
        <f t="shared" si="55"/>
        <v>23260.248</v>
      </c>
      <c r="AA199" s="32"/>
      <c r="AB199" s="32">
        <f t="shared" si="51"/>
        <v>8835.287999999999</v>
      </c>
      <c r="AC199" s="34">
        <f t="shared" si="56"/>
        <v>4209.679999999999</v>
      </c>
      <c r="AD199" s="8"/>
      <c r="AE199" s="8"/>
      <c r="AF199" s="34"/>
      <c r="AG199" s="32">
        <f t="shared" si="57"/>
        <v>21276.816</v>
      </c>
      <c r="AH199" s="32">
        <v>57500</v>
      </c>
      <c r="AI199" s="32">
        <f t="shared" si="66"/>
        <v>257937.04799999995</v>
      </c>
    </row>
    <row r="200" spans="1:35" ht="15.75">
      <c r="A200" s="5" t="s">
        <v>120</v>
      </c>
      <c r="B200" s="5" t="s">
        <v>65</v>
      </c>
      <c r="C200" s="6" t="s">
        <v>2</v>
      </c>
      <c r="D200" s="30">
        <v>1563.8</v>
      </c>
      <c r="E200" s="19">
        <f t="shared" si="58"/>
        <v>6755.616</v>
      </c>
      <c r="F200" s="19">
        <f t="shared" si="59"/>
        <v>22331.064</v>
      </c>
      <c r="G200" s="19">
        <f t="shared" si="60"/>
        <v>22143.408</v>
      </c>
      <c r="H200" s="19">
        <f t="shared" si="61"/>
        <v>4879.0560000000005</v>
      </c>
      <c r="I200" s="19">
        <f t="shared" si="62"/>
        <v>1125.936</v>
      </c>
      <c r="J200" s="19">
        <f t="shared" si="63"/>
        <v>3377.808</v>
      </c>
      <c r="K200" s="19">
        <f>4*6*2</f>
        <v>48</v>
      </c>
      <c r="L200" s="8">
        <f>144.73*74</f>
        <v>10710.019999999999</v>
      </c>
      <c r="M200" s="8"/>
      <c r="N200" s="8">
        <f>682*20.77</f>
        <v>14165.14</v>
      </c>
      <c r="O200" s="24">
        <f t="shared" si="53"/>
        <v>4300.45</v>
      </c>
      <c r="P200" s="32">
        <f t="shared" si="64"/>
        <v>89836.49799999999</v>
      </c>
      <c r="Q200" s="32"/>
      <c r="R200" s="34">
        <f t="shared" si="54"/>
        <v>57704.219999999994</v>
      </c>
      <c r="S200" s="19"/>
      <c r="T200" s="19"/>
      <c r="U200" s="19"/>
      <c r="V200" s="19"/>
      <c r="W200" s="19"/>
      <c r="X200" s="19">
        <v>60000</v>
      </c>
      <c r="Y200" s="32">
        <f t="shared" si="65"/>
        <v>60000</v>
      </c>
      <c r="Z200" s="32">
        <f t="shared" si="55"/>
        <v>24207.624</v>
      </c>
      <c r="AA200" s="32"/>
      <c r="AB200" s="32">
        <f t="shared" si="51"/>
        <v>9195.144</v>
      </c>
      <c r="AC200" s="34">
        <f t="shared" si="56"/>
        <v>4381.039999999999</v>
      </c>
      <c r="AD200" s="8"/>
      <c r="AE200" s="8"/>
      <c r="AF200" s="34"/>
      <c r="AG200" s="32">
        <f t="shared" si="57"/>
        <v>22143.408</v>
      </c>
      <c r="AH200" s="32"/>
      <c r="AI200" s="32">
        <f t="shared" si="66"/>
        <v>267467.934</v>
      </c>
    </row>
    <row r="201" spans="1:35" ht="15.75">
      <c r="A201" s="3" t="s">
        <v>120</v>
      </c>
      <c r="B201" s="4" t="s">
        <v>129</v>
      </c>
      <c r="C201" s="3" t="s">
        <v>2</v>
      </c>
      <c r="D201" s="26">
        <v>1409.2</v>
      </c>
      <c r="E201" s="19">
        <f t="shared" si="58"/>
        <v>6087.744000000001</v>
      </c>
      <c r="F201" s="19">
        <f t="shared" si="59"/>
        <v>20123.375999999997</v>
      </c>
      <c r="G201" s="19">
        <f t="shared" si="60"/>
        <v>19954.272</v>
      </c>
      <c r="H201" s="19">
        <f t="shared" si="61"/>
        <v>4396.704000000001</v>
      </c>
      <c r="I201" s="19">
        <f t="shared" si="62"/>
        <v>1014.6239999999999</v>
      </c>
      <c r="J201" s="19">
        <f t="shared" si="63"/>
        <v>3043.8720000000003</v>
      </c>
      <c r="K201" s="19">
        <f>34*8*4+34*6*2</f>
        <v>1496</v>
      </c>
      <c r="L201" s="8">
        <f>144.73*2</f>
        <v>289.46</v>
      </c>
      <c r="M201" s="8"/>
      <c r="N201" s="8"/>
      <c r="O201" s="24">
        <f t="shared" si="53"/>
        <v>3875.3</v>
      </c>
      <c r="P201" s="32">
        <f t="shared" si="64"/>
        <v>60281.352</v>
      </c>
      <c r="Q201" s="32"/>
      <c r="R201" s="34">
        <f t="shared" si="54"/>
        <v>51999.48000000001</v>
      </c>
      <c r="S201" s="19"/>
      <c r="T201" s="19"/>
      <c r="U201" s="19"/>
      <c r="V201" s="19"/>
      <c r="W201" s="19"/>
      <c r="X201" s="19"/>
      <c r="Y201" s="32">
        <f t="shared" si="65"/>
        <v>0</v>
      </c>
      <c r="Z201" s="32">
        <f t="shared" si="55"/>
        <v>21814.416</v>
      </c>
      <c r="AA201" s="32"/>
      <c r="AB201" s="32">
        <f t="shared" si="51"/>
        <v>8286.096000000001</v>
      </c>
      <c r="AC201" s="34">
        <f t="shared" si="56"/>
        <v>3948.1600000000003</v>
      </c>
      <c r="AD201" s="8"/>
      <c r="AE201" s="8"/>
      <c r="AF201" s="34"/>
      <c r="AG201" s="32">
        <f t="shared" si="57"/>
        <v>19954.272</v>
      </c>
      <c r="AH201" s="32"/>
      <c r="AI201" s="32">
        <f t="shared" si="66"/>
        <v>166283.776</v>
      </c>
    </row>
    <row r="202" spans="1:35" ht="15.75">
      <c r="A202" s="3" t="s">
        <v>130</v>
      </c>
      <c r="B202" s="4" t="s">
        <v>122</v>
      </c>
      <c r="C202" s="3" t="s">
        <v>2</v>
      </c>
      <c r="D202" s="26">
        <v>3232.9</v>
      </c>
      <c r="E202" s="19">
        <f t="shared" si="58"/>
        <v>13966.128</v>
      </c>
      <c r="F202" s="19">
        <f t="shared" si="59"/>
        <v>46165.812</v>
      </c>
      <c r="G202" s="19">
        <f t="shared" si="60"/>
        <v>45777.864</v>
      </c>
      <c r="H202" s="19">
        <f t="shared" si="61"/>
        <v>10086.648000000001</v>
      </c>
      <c r="I202" s="19">
        <f t="shared" si="62"/>
        <v>2327.688</v>
      </c>
      <c r="J202" s="19">
        <f t="shared" si="63"/>
        <v>6983.064</v>
      </c>
      <c r="K202" s="19">
        <f>70*6*2</f>
        <v>840</v>
      </c>
      <c r="L202" s="8">
        <f>144.73*3</f>
        <v>434.18999999999994</v>
      </c>
      <c r="M202" s="8"/>
      <c r="N202" s="8"/>
      <c r="O202" s="24">
        <f t="shared" si="53"/>
        <v>8890.475000000002</v>
      </c>
      <c r="P202" s="32">
        <f t="shared" si="64"/>
        <v>135471.869</v>
      </c>
      <c r="Q202" s="32">
        <f>D202*1.27*5+D202*1.34*7</f>
        <v>50853.51700000001</v>
      </c>
      <c r="R202" s="34">
        <f t="shared" si="54"/>
        <v>119294.01000000001</v>
      </c>
      <c r="S202" s="19"/>
      <c r="T202" s="19"/>
      <c r="U202" s="19"/>
      <c r="V202" s="19"/>
      <c r="W202" s="19"/>
      <c r="X202" s="19"/>
      <c r="Y202" s="32">
        <f t="shared" si="65"/>
        <v>0</v>
      </c>
      <c r="Z202" s="32">
        <f t="shared" si="55"/>
        <v>50045.292</v>
      </c>
      <c r="AA202" s="32"/>
      <c r="AB202" s="32">
        <f t="shared" si="51"/>
        <v>19009.452</v>
      </c>
      <c r="AC202" s="34">
        <f t="shared" si="56"/>
        <v>9054.52</v>
      </c>
      <c r="AD202" s="8"/>
      <c r="AE202" s="8"/>
      <c r="AF202" s="34"/>
      <c r="AG202" s="32">
        <f t="shared" si="57"/>
        <v>45777.864</v>
      </c>
      <c r="AH202" s="32"/>
      <c r="AI202" s="32">
        <f t="shared" si="66"/>
        <v>429506.52400000003</v>
      </c>
    </row>
    <row r="203" spans="1:35" ht="15.75">
      <c r="A203" s="3" t="s">
        <v>130</v>
      </c>
      <c r="B203" s="4" t="s">
        <v>11</v>
      </c>
      <c r="C203" s="3" t="s">
        <v>2</v>
      </c>
      <c r="D203" s="29">
        <v>584.3</v>
      </c>
      <c r="E203" s="19">
        <f t="shared" si="58"/>
        <v>2524.176</v>
      </c>
      <c r="F203" s="19">
        <f t="shared" si="59"/>
        <v>8343.803999999998</v>
      </c>
      <c r="G203" s="19">
        <f t="shared" si="60"/>
        <v>8273.687999999998</v>
      </c>
      <c r="H203" s="19">
        <f t="shared" si="61"/>
        <v>1823.016</v>
      </c>
      <c r="I203" s="19">
        <f t="shared" si="62"/>
        <v>420.6959999999999</v>
      </c>
      <c r="J203" s="19">
        <f t="shared" si="63"/>
        <v>1262.088</v>
      </c>
      <c r="K203" s="19">
        <f>16*8*4+16*6*2</f>
        <v>704</v>
      </c>
      <c r="L203" s="8">
        <f>144.73*3</f>
        <v>434.18999999999994</v>
      </c>
      <c r="M203" s="8"/>
      <c r="N203" s="8"/>
      <c r="O203" s="24">
        <f t="shared" si="53"/>
        <v>1606.825</v>
      </c>
      <c r="P203" s="32">
        <f t="shared" si="64"/>
        <v>25392.482999999997</v>
      </c>
      <c r="Q203" s="32"/>
      <c r="R203" s="34">
        <f t="shared" si="54"/>
        <v>21560.67</v>
      </c>
      <c r="S203" s="19"/>
      <c r="T203" s="19"/>
      <c r="U203" s="19"/>
      <c r="V203" s="19"/>
      <c r="W203" s="19"/>
      <c r="X203" s="19"/>
      <c r="Y203" s="32">
        <f t="shared" si="65"/>
        <v>0</v>
      </c>
      <c r="Z203" s="32">
        <f t="shared" si="55"/>
        <v>9044.964</v>
      </c>
      <c r="AA203" s="32"/>
      <c r="AB203" s="32">
        <f t="shared" si="51"/>
        <v>3435.6839999999993</v>
      </c>
      <c r="AC203" s="34">
        <f t="shared" si="56"/>
        <v>1638.44</v>
      </c>
      <c r="AD203" s="8"/>
      <c r="AE203" s="8"/>
      <c r="AF203" s="34"/>
      <c r="AG203" s="32">
        <f t="shared" si="57"/>
        <v>8273.687999999998</v>
      </c>
      <c r="AH203" s="32"/>
      <c r="AI203" s="32">
        <f t="shared" si="66"/>
        <v>69345.92899999999</v>
      </c>
    </row>
    <row r="204" spans="1:35" ht="15.75">
      <c r="A204" s="3" t="s">
        <v>130</v>
      </c>
      <c r="B204" s="4" t="s">
        <v>12</v>
      </c>
      <c r="C204" s="3" t="s">
        <v>2</v>
      </c>
      <c r="D204" s="26">
        <v>676.3</v>
      </c>
      <c r="E204" s="19">
        <f t="shared" si="58"/>
        <v>2921.6159999999995</v>
      </c>
      <c r="F204" s="19">
        <f t="shared" si="59"/>
        <v>9657.563999999998</v>
      </c>
      <c r="G204" s="19">
        <f t="shared" si="60"/>
        <v>9576.408</v>
      </c>
      <c r="H204" s="19">
        <f t="shared" si="61"/>
        <v>2110.056</v>
      </c>
      <c r="I204" s="19">
        <f t="shared" si="62"/>
        <v>486.9359999999999</v>
      </c>
      <c r="J204" s="19">
        <f t="shared" si="63"/>
        <v>1460.8079999999998</v>
      </c>
      <c r="K204" s="19">
        <f>16*8*4+16*6*2</f>
        <v>704</v>
      </c>
      <c r="L204" s="8">
        <f>144.73*22</f>
        <v>3184.06</v>
      </c>
      <c r="M204" s="8"/>
      <c r="N204" s="8"/>
      <c r="O204" s="24">
        <f t="shared" si="53"/>
        <v>1859.8250000000003</v>
      </c>
      <c r="P204" s="32">
        <f t="shared" si="64"/>
        <v>31961.273</v>
      </c>
      <c r="Q204" s="32"/>
      <c r="R204" s="34">
        <f t="shared" si="54"/>
        <v>24955.47</v>
      </c>
      <c r="S204" s="19"/>
      <c r="T204" s="19"/>
      <c r="U204" s="19"/>
      <c r="V204" s="19"/>
      <c r="W204" s="19"/>
      <c r="X204" s="19"/>
      <c r="Y204" s="32">
        <f t="shared" si="65"/>
        <v>0</v>
      </c>
      <c r="Z204" s="32">
        <f t="shared" si="55"/>
        <v>10469.124</v>
      </c>
      <c r="AA204" s="32"/>
      <c r="AB204" s="32">
        <f t="shared" si="51"/>
        <v>3976.6439999999993</v>
      </c>
      <c r="AC204" s="34">
        <f t="shared" si="56"/>
        <v>1896.04</v>
      </c>
      <c r="AD204" s="8"/>
      <c r="AE204" s="8"/>
      <c r="AF204" s="34"/>
      <c r="AG204" s="32">
        <f t="shared" si="57"/>
        <v>9576.408</v>
      </c>
      <c r="AH204" s="32"/>
      <c r="AI204" s="32">
        <f t="shared" si="66"/>
        <v>82834.95899999999</v>
      </c>
    </row>
    <row r="205" spans="1:35" ht="15.75">
      <c r="A205" s="3" t="s">
        <v>130</v>
      </c>
      <c r="B205" s="4" t="s">
        <v>41</v>
      </c>
      <c r="C205" s="3" t="s">
        <v>2</v>
      </c>
      <c r="D205" s="26">
        <v>562.3</v>
      </c>
      <c r="E205" s="19">
        <f t="shared" si="58"/>
        <v>2429.1359999999995</v>
      </c>
      <c r="F205" s="19">
        <f t="shared" si="59"/>
        <v>8029.643999999999</v>
      </c>
      <c r="G205" s="19">
        <f t="shared" si="60"/>
        <v>7962.167999999999</v>
      </c>
      <c r="H205" s="19">
        <f t="shared" si="61"/>
        <v>1754.3759999999997</v>
      </c>
      <c r="I205" s="19">
        <f t="shared" si="62"/>
        <v>404.856</v>
      </c>
      <c r="J205" s="19">
        <f t="shared" si="63"/>
        <v>1214.5679999999998</v>
      </c>
      <c r="K205" s="19">
        <f>16*8*4+16*6*2</f>
        <v>704</v>
      </c>
      <c r="L205" s="8">
        <f>144.73*22</f>
        <v>3184.06</v>
      </c>
      <c r="M205" s="8"/>
      <c r="N205" s="8"/>
      <c r="O205" s="24">
        <f t="shared" si="53"/>
        <v>1546.3249999999998</v>
      </c>
      <c r="P205" s="32">
        <f t="shared" si="64"/>
        <v>27229.132999999998</v>
      </c>
      <c r="Q205" s="32"/>
      <c r="R205" s="34">
        <f t="shared" si="54"/>
        <v>20748.87</v>
      </c>
      <c r="S205" s="19"/>
      <c r="T205" s="19"/>
      <c r="U205" s="19"/>
      <c r="V205" s="19"/>
      <c r="W205" s="19"/>
      <c r="X205" s="19"/>
      <c r="Y205" s="32">
        <f t="shared" si="65"/>
        <v>0</v>
      </c>
      <c r="Z205" s="32">
        <f t="shared" si="55"/>
        <v>8704.403999999999</v>
      </c>
      <c r="AA205" s="32"/>
      <c r="AB205" s="32">
        <f t="shared" si="51"/>
        <v>3306.3239999999996</v>
      </c>
      <c r="AC205" s="34">
        <f t="shared" si="56"/>
        <v>1576.84</v>
      </c>
      <c r="AD205" s="8"/>
      <c r="AE205" s="8"/>
      <c r="AF205" s="34"/>
      <c r="AG205" s="32">
        <f t="shared" si="57"/>
        <v>7962.167999999999</v>
      </c>
      <c r="AH205" s="32"/>
      <c r="AI205" s="32">
        <f t="shared" si="66"/>
        <v>69527.73899999999</v>
      </c>
    </row>
    <row r="206" spans="1:35" ht="15.75">
      <c r="A206" s="3" t="s">
        <v>130</v>
      </c>
      <c r="B206" s="4" t="s">
        <v>65</v>
      </c>
      <c r="C206" s="3" t="s">
        <v>2</v>
      </c>
      <c r="D206" s="26">
        <v>274.5</v>
      </c>
      <c r="E206" s="19">
        <f t="shared" si="58"/>
        <v>1185.84</v>
      </c>
      <c r="F206" s="19">
        <f t="shared" si="59"/>
        <v>3919.8599999999997</v>
      </c>
      <c r="G206" s="19">
        <f t="shared" si="60"/>
        <v>3886.9199999999996</v>
      </c>
      <c r="H206" s="19">
        <f t="shared" si="61"/>
        <v>856.44</v>
      </c>
      <c r="I206" s="19">
        <f t="shared" si="62"/>
        <v>197.64</v>
      </c>
      <c r="J206" s="19">
        <f t="shared" si="63"/>
        <v>592.92</v>
      </c>
      <c r="K206" s="19">
        <f>8*6*2</f>
        <v>96</v>
      </c>
      <c r="L206" s="8">
        <f>144.73*12</f>
        <v>1736.7599999999998</v>
      </c>
      <c r="M206" s="8"/>
      <c r="N206" s="8"/>
      <c r="O206" s="24">
        <f t="shared" si="53"/>
        <v>754.8750000000001</v>
      </c>
      <c r="P206" s="32">
        <f t="shared" si="64"/>
        <v>13227.255</v>
      </c>
      <c r="Q206" s="32"/>
      <c r="R206" s="34">
        <f t="shared" si="54"/>
        <v>10129.05</v>
      </c>
      <c r="S206" s="19"/>
      <c r="T206" s="19"/>
      <c r="U206" s="19"/>
      <c r="V206" s="19"/>
      <c r="W206" s="19"/>
      <c r="X206" s="19"/>
      <c r="Y206" s="32">
        <f t="shared" si="65"/>
        <v>0</v>
      </c>
      <c r="Z206" s="32">
        <f t="shared" si="55"/>
        <v>4249.26</v>
      </c>
      <c r="AA206" s="32"/>
      <c r="AB206" s="32">
        <f t="shared" si="51"/>
        <v>1614.06</v>
      </c>
      <c r="AC206" s="34">
        <f t="shared" si="56"/>
        <v>771.0000000000001</v>
      </c>
      <c r="AD206" s="8"/>
      <c r="AE206" s="8"/>
      <c r="AF206" s="34"/>
      <c r="AG206" s="32">
        <f t="shared" si="57"/>
        <v>3886.9199999999996</v>
      </c>
      <c r="AH206" s="32"/>
      <c r="AI206" s="32">
        <f t="shared" si="66"/>
        <v>33877.545000000006</v>
      </c>
    </row>
    <row r="207" spans="1:35" ht="15.75">
      <c r="A207" s="3" t="s">
        <v>131</v>
      </c>
      <c r="B207" s="4" t="s">
        <v>81</v>
      </c>
      <c r="C207" s="3" t="s">
        <v>2</v>
      </c>
      <c r="D207" s="26">
        <v>3323.1</v>
      </c>
      <c r="E207" s="19">
        <f t="shared" si="58"/>
        <v>14355.792000000001</v>
      </c>
      <c r="F207" s="19">
        <f t="shared" si="59"/>
        <v>47453.867999999995</v>
      </c>
      <c r="G207" s="19">
        <f t="shared" si="60"/>
        <v>47055.096</v>
      </c>
      <c r="H207" s="19">
        <f t="shared" si="61"/>
        <v>10368.072</v>
      </c>
      <c r="I207" s="19">
        <f t="shared" si="62"/>
        <v>2392.632</v>
      </c>
      <c r="J207" s="19">
        <f t="shared" si="63"/>
        <v>7177.896000000001</v>
      </c>
      <c r="K207" s="19">
        <f>68*6*2</f>
        <v>816</v>
      </c>
      <c r="L207" s="8">
        <f>144.73*3</f>
        <v>434.18999999999994</v>
      </c>
      <c r="M207" s="8"/>
      <c r="N207" s="8"/>
      <c r="O207" s="24">
        <f t="shared" si="53"/>
        <v>9138.525000000001</v>
      </c>
      <c r="P207" s="32">
        <f t="shared" si="64"/>
        <v>139192.071</v>
      </c>
      <c r="Q207" s="32">
        <f>D207*1.27*5+D207*1.34*7</f>
        <v>52272.363</v>
      </c>
      <c r="R207" s="34">
        <f t="shared" si="54"/>
        <v>122622.38999999998</v>
      </c>
      <c r="S207" s="19"/>
      <c r="T207" s="19"/>
      <c r="U207" s="19"/>
      <c r="V207" s="19"/>
      <c r="W207" s="19"/>
      <c r="X207" s="19">
        <v>80000</v>
      </c>
      <c r="Y207" s="32">
        <f t="shared" si="65"/>
        <v>80000</v>
      </c>
      <c r="Z207" s="32">
        <f t="shared" si="55"/>
        <v>51441.588</v>
      </c>
      <c r="AA207" s="32"/>
      <c r="AB207" s="32">
        <f t="shared" si="51"/>
        <v>19539.828</v>
      </c>
      <c r="AC207" s="34">
        <f t="shared" si="56"/>
        <v>9307.08</v>
      </c>
      <c r="AD207" s="8"/>
      <c r="AE207" s="8"/>
      <c r="AF207" s="34"/>
      <c r="AG207" s="32">
        <f t="shared" si="57"/>
        <v>47055.096</v>
      </c>
      <c r="AH207" s="32">
        <v>57500</v>
      </c>
      <c r="AI207" s="32">
        <f t="shared" si="66"/>
        <v>578930.416</v>
      </c>
    </row>
    <row r="208" spans="1:35" ht="15.75">
      <c r="A208" s="5" t="s">
        <v>131</v>
      </c>
      <c r="B208" s="5" t="s">
        <v>132</v>
      </c>
      <c r="C208" s="6" t="s">
        <v>2</v>
      </c>
      <c r="D208" s="26">
        <v>95.1</v>
      </c>
      <c r="E208" s="19">
        <f t="shared" si="58"/>
        <v>410.832</v>
      </c>
      <c r="F208" s="19">
        <f t="shared" si="59"/>
        <v>1358.0279999999998</v>
      </c>
      <c r="G208" s="19">
        <f t="shared" si="60"/>
        <v>1346.616</v>
      </c>
      <c r="H208" s="19">
        <f t="shared" si="61"/>
        <v>296.712</v>
      </c>
      <c r="I208" s="19">
        <f t="shared" si="62"/>
        <v>68.472</v>
      </c>
      <c r="J208" s="19">
        <f t="shared" si="63"/>
        <v>205.416</v>
      </c>
      <c r="K208" s="19">
        <f>2*230</f>
        <v>460</v>
      </c>
      <c r="L208" s="8"/>
      <c r="M208" s="8"/>
      <c r="N208" s="8"/>
      <c r="O208" s="24">
        <f t="shared" si="53"/>
        <v>261.525</v>
      </c>
      <c r="P208" s="32">
        <f t="shared" si="64"/>
        <v>4407.601</v>
      </c>
      <c r="Q208" s="32"/>
      <c r="R208" s="34">
        <f t="shared" si="54"/>
        <v>3509.1899999999996</v>
      </c>
      <c r="S208" s="19"/>
      <c r="T208" s="19"/>
      <c r="U208" s="19"/>
      <c r="V208" s="19"/>
      <c r="W208" s="19"/>
      <c r="X208" s="19"/>
      <c r="Y208" s="32">
        <f t="shared" si="65"/>
        <v>0</v>
      </c>
      <c r="Z208" s="32">
        <f t="shared" si="55"/>
        <v>1472.1480000000001</v>
      </c>
      <c r="AA208" s="32"/>
      <c r="AB208" s="32">
        <f t="shared" si="51"/>
        <v>559.188</v>
      </c>
      <c r="AC208" s="34">
        <f t="shared" si="56"/>
        <v>268.67999999999995</v>
      </c>
      <c r="AD208" s="8"/>
      <c r="AE208" s="8"/>
      <c r="AF208" s="34"/>
      <c r="AG208" s="32">
        <f t="shared" si="57"/>
        <v>1346.616</v>
      </c>
      <c r="AH208" s="32"/>
      <c r="AI208" s="32">
        <f t="shared" si="66"/>
        <v>11563.422999999999</v>
      </c>
    </row>
    <row r="209" spans="1:35" ht="15.75">
      <c r="A209" s="3" t="s">
        <v>133</v>
      </c>
      <c r="B209" s="4" t="s">
        <v>34</v>
      </c>
      <c r="C209" s="3" t="s">
        <v>2</v>
      </c>
      <c r="D209" s="26">
        <v>509.2</v>
      </c>
      <c r="E209" s="19">
        <f t="shared" si="58"/>
        <v>2199.7439999999997</v>
      </c>
      <c r="F209" s="19">
        <f t="shared" si="59"/>
        <v>7271.376</v>
      </c>
      <c r="G209" s="19">
        <f t="shared" si="60"/>
        <v>7210.272</v>
      </c>
      <c r="H209" s="19">
        <f t="shared" si="61"/>
        <v>1588.704</v>
      </c>
      <c r="I209" s="19">
        <f t="shared" si="62"/>
        <v>366.624</v>
      </c>
      <c r="J209" s="19">
        <f t="shared" si="63"/>
        <v>1099.8719999999998</v>
      </c>
      <c r="K209" s="19">
        <f>12*8*4+12*6*2</f>
        <v>528</v>
      </c>
      <c r="L209" s="8">
        <f>144.73*16</f>
        <v>2315.68</v>
      </c>
      <c r="M209" s="8"/>
      <c r="N209" s="8">
        <f>105*20.77</f>
        <v>2180.85</v>
      </c>
      <c r="O209" s="24">
        <f t="shared" si="53"/>
        <v>1400.3</v>
      </c>
      <c r="P209" s="32">
        <f t="shared" si="64"/>
        <v>26161.422</v>
      </c>
      <c r="Q209" s="32">
        <f>D209*1.27*5+D209*1.34*7</f>
        <v>8009.716</v>
      </c>
      <c r="R209" s="34">
        <f t="shared" si="54"/>
        <v>18789.48</v>
      </c>
      <c r="S209" s="19"/>
      <c r="T209" s="19"/>
      <c r="U209" s="19"/>
      <c r="V209" s="19"/>
      <c r="W209" s="19"/>
      <c r="X209" s="19"/>
      <c r="Y209" s="32">
        <f t="shared" si="65"/>
        <v>0</v>
      </c>
      <c r="Z209" s="32">
        <f t="shared" si="55"/>
        <v>7882.416000000001</v>
      </c>
      <c r="AA209" s="32"/>
      <c r="AB209" s="32">
        <f t="shared" si="51"/>
        <v>2994.0959999999995</v>
      </c>
      <c r="AC209" s="34">
        <f t="shared" si="56"/>
        <v>1428.16</v>
      </c>
      <c r="AD209" s="8"/>
      <c r="AE209" s="8"/>
      <c r="AF209" s="34"/>
      <c r="AG209" s="32">
        <f t="shared" si="57"/>
        <v>7210.272</v>
      </c>
      <c r="AH209" s="32">
        <v>57500</v>
      </c>
      <c r="AI209" s="32">
        <f t="shared" si="66"/>
        <v>129975.562</v>
      </c>
    </row>
    <row r="210" spans="1:35" ht="15.75">
      <c r="A210" s="3" t="s">
        <v>134</v>
      </c>
      <c r="B210" s="4" t="s">
        <v>1</v>
      </c>
      <c r="C210" s="3" t="s">
        <v>2</v>
      </c>
      <c r="D210" s="29">
        <v>538.9</v>
      </c>
      <c r="E210" s="19">
        <f t="shared" si="58"/>
        <v>2328.048</v>
      </c>
      <c r="F210" s="19">
        <f t="shared" si="59"/>
        <v>7695.491999999999</v>
      </c>
      <c r="G210" s="19">
        <f t="shared" si="60"/>
        <v>7630.823999999999</v>
      </c>
      <c r="H210" s="19">
        <f t="shared" si="61"/>
        <v>1681.368</v>
      </c>
      <c r="I210" s="19">
        <f t="shared" si="62"/>
        <v>388.0079999999999</v>
      </c>
      <c r="J210" s="19">
        <f t="shared" si="63"/>
        <v>1164.024</v>
      </c>
      <c r="K210" s="19">
        <f>8*8*4+8*6*2</f>
        <v>352</v>
      </c>
      <c r="L210" s="8"/>
      <c r="M210" s="8"/>
      <c r="N210" s="8">
        <f>501*20.77</f>
        <v>10405.77</v>
      </c>
      <c r="O210" s="24">
        <f t="shared" si="53"/>
        <v>1481.9750000000001</v>
      </c>
      <c r="P210" s="32">
        <f t="shared" si="64"/>
        <v>33127.509</v>
      </c>
      <c r="Q210" s="32"/>
      <c r="R210" s="34">
        <f t="shared" si="54"/>
        <v>19885.409999999996</v>
      </c>
      <c r="S210" s="19"/>
      <c r="T210" s="19"/>
      <c r="U210" s="19"/>
      <c r="V210" s="19"/>
      <c r="W210" s="19"/>
      <c r="X210" s="19"/>
      <c r="Y210" s="32">
        <f t="shared" si="65"/>
        <v>0</v>
      </c>
      <c r="Z210" s="32">
        <f t="shared" si="55"/>
        <v>8342.172</v>
      </c>
      <c r="AA210" s="32"/>
      <c r="AB210" s="32">
        <f t="shared" si="51"/>
        <v>3168.732</v>
      </c>
      <c r="AC210" s="34">
        <f t="shared" si="56"/>
        <v>1511.3200000000002</v>
      </c>
      <c r="AD210" s="8"/>
      <c r="AE210" s="8"/>
      <c r="AF210" s="34"/>
      <c r="AG210" s="32">
        <f t="shared" si="57"/>
        <v>7630.823999999999</v>
      </c>
      <c r="AH210" s="32"/>
      <c r="AI210" s="32">
        <f t="shared" si="66"/>
        <v>73665.96699999999</v>
      </c>
    </row>
    <row r="211" spans="1:35" ht="15.75">
      <c r="A211" s="3" t="s">
        <v>134</v>
      </c>
      <c r="B211" s="4" t="s">
        <v>69</v>
      </c>
      <c r="C211" s="3" t="s">
        <v>2</v>
      </c>
      <c r="D211" s="26">
        <v>2037.5</v>
      </c>
      <c r="E211" s="19">
        <f t="shared" si="58"/>
        <v>8802</v>
      </c>
      <c r="F211" s="19">
        <f t="shared" si="59"/>
        <v>29095.5</v>
      </c>
      <c r="G211" s="19">
        <f t="shared" si="60"/>
        <v>28851</v>
      </c>
      <c r="H211" s="19">
        <f t="shared" si="61"/>
        <v>6357</v>
      </c>
      <c r="I211" s="19">
        <f t="shared" si="62"/>
        <v>1467</v>
      </c>
      <c r="J211" s="19">
        <f t="shared" si="63"/>
        <v>4401</v>
      </c>
      <c r="K211" s="19">
        <f>48*8*4+48*6*2</f>
        <v>2112</v>
      </c>
      <c r="L211" s="8">
        <f>144.73*3</f>
        <v>434.18999999999994</v>
      </c>
      <c r="M211" s="8"/>
      <c r="N211" s="8"/>
      <c r="O211" s="24">
        <f t="shared" si="53"/>
        <v>5603.125</v>
      </c>
      <c r="P211" s="32">
        <f t="shared" si="64"/>
        <v>87122.815</v>
      </c>
      <c r="Q211" s="32">
        <f>D211*1.27*5+D211*1.34*7</f>
        <v>32049.875</v>
      </c>
      <c r="R211" s="34">
        <f t="shared" si="54"/>
        <v>75183.75</v>
      </c>
      <c r="S211" s="19"/>
      <c r="T211" s="19"/>
      <c r="U211" s="19"/>
      <c r="V211" s="19"/>
      <c r="W211" s="19"/>
      <c r="X211" s="19"/>
      <c r="Y211" s="32">
        <f t="shared" si="65"/>
        <v>0</v>
      </c>
      <c r="Z211" s="32">
        <f t="shared" si="55"/>
        <v>31540.5</v>
      </c>
      <c r="AA211" s="32"/>
      <c r="AB211" s="32">
        <f t="shared" si="51"/>
        <v>11980.5</v>
      </c>
      <c r="AC211" s="34">
        <f t="shared" si="56"/>
        <v>5707.4</v>
      </c>
      <c r="AD211" s="8"/>
      <c r="AE211" s="8"/>
      <c r="AF211" s="34"/>
      <c r="AG211" s="32">
        <f t="shared" si="57"/>
        <v>28851</v>
      </c>
      <c r="AH211" s="32"/>
      <c r="AI211" s="32">
        <f t="shared" si="66"/>
        <v>272435.83999999997</v>
      </c>
    </row>
    <row r="212" spans="1:35" ht="15.75">
      <c r="A212" s="3" t="s">
        <v>134</v>
      </c>
      <c r="B212" s="4" t="s">
        <v>87</v>
      </c>
      <c r="C212" s="3" t="s">
        <v>2</v>
      </c>
      <c r="D212" s="26">
        <v>2561.4</v>
      </c>
      <c r="E212" s="19">
        <f t="shared" si="58"/>
        <v>11065.248</v>
      </c>
      <c r="F212" s="19">
        <f t="shared" si="59"/>
        <v>36576.792</v>
      </c>
      <c r="G212" s="19">
        <f t="shared" si="60"/>
        <v>36269.424</v>
      </c>
      <c r="H212" s="19">
        <f t="shared" si="61"/>
        <v>7991.568000000001</v>
      </c>
      <c r="I212" s="19">
        <f t="shared" si="62"/>
        <v>1844.208</v>
      </c>
      <c r="J212" s="19">
        <f t="shared" si="63"/>
        <v>5532.624</v>
      </c>
      <c r="K212" s="19">
        <f>60*8+60*6*2</f>
        <v>1200</v>
      </c>
      <c r="L212" s="8">
        <f>144.73*3</f>
        <v>434.18999999999994</v>
      </c>
      <c r="M212" s="8"/>
      <c r="N212" s="8">
        <f>894*20.77</f>
        <v>18568.38</v>
      </c>
      <c r="O212" s="24">
        <f t="shared" si="53"/>
        <v>7043.850000000001</v>
      </c>
      <c r="P212" s="32">
        <f t="shared" si="64"/>
        <v>126526.28400000001</v>
      </c>
      <c r="Q212" s="32">
        <f>D212*1.27*5+D212*1.34*7</f>
        <v>40290.822</v>
      </c>
      <c r="R212" s="34">
        <f t="shared" si="54"/>
        <v>94515.66</v>
      </c>
      <c r="S212" s="19"/>
      <c r="T212" s="19"/>
      <c r="U212" s="19"/>
      <c r="V212" s="19">
        <f>210*150</f>
        <v>31500</v>
      </c>
      <c r="W212" s="19"/>
      <c r="X212" s="19"/>
      <c r="Y212" s="32">
        <f t="shared" si="65"/>
        <v>31500</v>
      </c>
      <c r="Z212" s="32">
        <f t="shared" si="55"/>
        <v>39650.472</v>
      </c>
      <c r="AA212" s="32"/>
      <c r="AB212" s="32">
        <f t="shared" si="51"/>
        <v>15061.032</v>
      </c>
      <c r="AC212" s="34">
        <f t="shared" si="56"/>
        <v>7174.320000000001</v>
      </c>
      <c r="AD212" s="8"/>
      <c r="AE212" s="8"/>
      <c r="AF212" s="34"/>
      <c r="AG212" s="32">
        <f t="shared" si="57"/>
        <v>36269.424</v>
      </c>
      <c r="AH212" s="32"/>
      <c r="AI212" s="32">
        <f t="shared" si="66"/>
        <v>390988.0140000001</v>
      </c>
    </row>
    <row r="213" spans="1:35" ht="15.75">
      <c r="A213" s="3" t="s">
        <v>134</v>
      </c>
      <c r="B213" s="4" t="s">
        <v>71</v>
      </c>
      <c r="C213" s="3" t="s">
        <v>2</v>
      </c>
      <c r="D213" s="26">
        <v>2543.2</v>
      </c>
      <c r="E213" s="19">
        <f t="shared" si="58"/>
        <v>10986.624</v>
      </c>
      <c r="F213" s="19">
        <f t="shared" si="59"/>
        <v>36316.89599999999</v>
      </c>
      <c r="G213" s="19">
        <f t="shared" si="60"/>
        <v>36011.712</v>
      </c>
      <c r="H213" s="19">
        <f t="shared" si="61"/>
        <v>7934.784</v>
      </c>
      <c r="I213" s="19">
        <f t="shared" si="62"/>
        <v>1831.1039999999998</v>
      </c>
      <c r="J213" s="19">
        <f t="shared" si="63"/>
        <v>5493.312</v>
      </c>
      <c r="K213" s="19">
        <f>60*8+60*6*2</f>
        <v>1200</v>
      </c>
      <c r="L213" s="8">
        <f>144.73*3</f>
        <v>434.18999999999994</v>
      </c>
      <c r="M213" s="8"/>
      <c r="N213" s="8">
        <f>894*20.77</f>
        <v>18568.38</v>
      </c>
      <c r="O213" s="24">
        <f t="shared" si="53"/>
        <v>6993.8</v>
      </c>
      <c r="P213" s="32">
        <f t="shared" si="64"/>
        <v>125770.80200000001</v>
      </c>
      <c r="Q213" s="32">
        <f>D213*1.27*5+D213*1.34*7</f>
        <v>40004.536</v>
      </c>
      <c r="R213" s="34">
        <f t="shared" si="54"/>
        <v>93844.08</v>
      </c>
      <c r="S213" s="19"/>
      <c r="T213" s="19"/>
      <c r="U213" s="19"/>
      <c r="V213" s="19"/>
      <c r="W213" s="19"/>
      <c r="X213" s="19"/>
      <c r="Y213" s="32">
        <f t="shared" si="65"/>
        <v>0</v>
      </c>
      <c r="Z213" s="32">
        <f t="shared" si="55"/>
        <v>39368.736000000004</v>
      </c>
      <c r="AA213" s="32"/>
      <c r="AB213" s="32">
        <f t="shared" si="51"/>
        <v>14954.016</v>
      </c>
      <c r="AC213" s="34">
        <f t="shared" si="56"/>
        <v>7123.36</v>
      </c>
      <c r="AD213" s="8"/>
      <c r="AE213" s="8"/>
      <c r="AF213" s="34"/>
      <c r="AG213" s="32">
        <f t="shared" si="57"/>
        <v>36011.712</v>
      </c>
      <c r="AH213" s="32"/>
      <c r="AI213" s="32">
        <f t="shared" si="66"/>
        <v>357077.24199999997</v>
      </c>
    </row>
    <row r="214" spans="1:35" ht="15.75">
      <c r="A214" s="3" t="s">
        <v>134</v>
      </c>
      <c r="B214" s="4" t="s">
        <v>72</v>
      </c>
      <c r="C214" s="3" t="s">
        <v>2</v>
      </c>
      <c r="D214" s="26">
        <v>529.2</v>
      </c>
      <c r="E214" s="19">
        <f t="shared" si="58"/>
        <v>2286.1440000000002</v>
      </c>
      <c r="F214" s="19">
        <f t="shared" si="59"/>
        <v>7556.976000000001</v>
      </c>
      <c r="G214" s="19">
        <f t="shared" si="60"/>
        <v>7493.472</v>
      </c>
      <c r="H214" s="19">
        <f t="shared" si="61"/>
        <v>1651.1040000000003</v>
      </c>
      <c r="I214" s="19">
        <f t="shared" si="62"/>
        <v>381.024</v>
      </c>
      <c r="J214" s="19">
        <f t="shared" si="63"/>
        <v>1143.0720000000001</v>
      </c>
      <c r="K214" s="19">
        <f>8*8*4+8*6*2</f>
        <v>352</v>
      </c>
      <c r="L214" s="8">
        <f>144.79*12</f>
        <v>1737.48</v>
      </c>
      <c r="M214" s="8"/>
      <c r="N214" s="8">
        <f>498*20.77</f>
        <v>10343.46</v>
      </c>
      <c r="O214" s="24">
        <f t="shared" si="53"/>
        <v>1455.3000000000002</v>
      </c>
      <c r="P214" s="32">
        <f t="shared" si="64"/>
        <v>34400.03200000001</v>
      </c>
      <c r="Q214" s="32"/>
      <c r="R214" s="34">
        <f t="shared" si="54"/>
        <v>19527.480000000003</v>
      </c>
      <c r="S214" s="19"/>
      <c r="T214" s="19"/>
      <c r="U214" s="19"/>
      <c r="V214" s="19"/>
      <c r="W214" s="19"/>
      <c r="X214" s="19"/>
      <c r="Y214" s="32">
        <f t="shared" si="65"/>
        <v>0</v>
      </c>
      <c r="Z214" s="32">
        <f t="shared" si="55"/>
        <v>8192.016000000001</v>
      </c>
      <c r="AA214" s="32"/>
      <c r="AB214" s="32">
        <f t="shared" si="51"/>
        <v>3111.696</v>
      </c>
      <c r="AC214" s="34">
        <f t="shared" si="56"/>
        <v>1484.1600000000003</v>
      </c>
      <c r="AD214" s="8"/>
      <c r="AE214" s="8"/>
      <c r="AF214" s="34"/>
      <c r="AG214" s="32">
        <f t="shared" si="57"/>
        <v>7493.472</v>
      </c>
      <c r="AH214" s="32"/>
      <c r="AI214" s="32">
        <f t="shared" si="66"/>
        <v>74208.85600000001</v>
      </c>
    </row>
    <row r="215" spans="1:35" ht="15.75">
      <c r="A215" s="3" t="s">
        <v>134</v>
      </c>
      <c r="B215" s="4" t="s">
        <v>128</v>
      </c>
      <c r="C215" s="3" t="s">
        <v>2</v>
      </c>
      <c r="D215" s="26">
        <v>2391.3</v>
      </c>
      <c r="E215" s="19">
        <f t="shared" si="58"/>
        <v>10330.416000000001</v>
      </c>
      <c r="F215" s="19">
        <f t="shared" si="59"/>
        <v>34147.763999999996</v>
      </c>
      <c r="G215" s="19">
        <f t="shared" si="60"/>
        <v>33860.808</v>
      </c>
      <c r="H215" s="19">
        <f t="shared" si="61"/>
        <v>7460.856000000001</v>
      </c>
      <c r="I215" s="19">
        <f t="shared" si="62"/>
        <v>1721.736</v>
      </c>
      <c r="J215" s="19">
        <f t="shared" si="63"/>
        <v>5165.2080000000005</v>
      </c>
      <c r="K215" s="19">
        <f>56*8+56*6*2</f>
        <v>1120</v>
      </c>
      <c r="L215" s="8">
        <f>144.73*2</f>
        <v>289.46</v>
      </c>
      <c r="M215" s="8"/>
      <c r="N215" s="8">
        <f>894*20.77</f>
        <v>18568.38</v>
      </c>
      <c r="O215" s="24">
        <f t="shared" si="53"/>
        <v>6576.075000000001</v>
      </c>
      <c r="P215" s="32">
        <f t="shared" si="64"/>
        <v>119240.703</v>
      </c>
      <c r="Q215" s="32">
        <f>D215*1.27*5+D215*1.34*7</f>
        <v>37615.149000000005</v>
      </c>
      <c r="R215" s="34">
        <f t="shared" si="54"/>
        <v>88238.97</v>
      </c>
      <c r="S215" s="19"/>
      <c r="T215" s="19"/>
      <c r="U215" s="19"/>
      <c r="V215" s="19"/>
      <c r="W215" s="19"/>
      <c r="X215" s="19"/>
      <c r="Y215" s="32">
        <f t="shared" si="65"/>
        <v>0</v>
      </c>
      <c r="Z215" s="32">
        <f t="shared" si="55"/>
        <v>37017.32400000001</v>
      </c>
      <c r="AA215" s="32"/>
      <c r="AB215" s="32">
        <f t="shared" si="51"/>
        <v>14060.844000000001</v>
      </c>
      <c r="AC215" s="34">
        <f t="shared" si="56"/>
        <v>6698.04</v>
      </c>
      <c r="AD215" s="8"/>
      <c r="AE215" s="8"/>
      <c r="AF215" s="34"/>
      <c r="AG215" s="32">
        <f t="shared" si="57"/>
        <v>33860.808</v>
      </c>
      <c r="AH215" s="32">
        <v>57500</v>
      </c>
      <c r="AI215" s="32">
        <f t="shared" si="66"/>
        <v>394231.838</v>
      </c>
    </row>
    <row r="216" spans="1:35" ht="15.75">
      <c r="A216" s="3" t="s">
        <v>134</v>
      </c>
      <c r="B216" s="4" t="s">
        <v>44</v>
      </c>
      <c r="C216" s="3" t="s">
        <v>2</v>
      </c>
      <c r="D216" s="26">
        <v>2271.4</v>
      </c>
      <c r="E216" s="19">
        <f t="shared" si="58"/>
        <v>9812.448</v>
      </c>
      <c r="F216" s="19">
        <f t="shared" si="59"/>
        <v>32435.591999999997</v>
      </c>
      <c r="G216" s="19">
        <f t="shared" si="60"/>
        <v>32163.023999999998</v>
      </c>
      <c r="H216" s="19">
        <f t="shared" si="61"/>
        <v>7086.768000000001</v>
      </c>
      <c r="I216" s="19">
        <f t="shared" si="62"/>
        <v>1635.408</v>
      </c>
      <c r="J216" s="19">
        <f t="shared" si="63"/>
        <v>4906.224</v>
      </c>
      <c r="K216" s="19">
        <f>32*8*4+32*6*2</f>
        <v>1408</v>
      </c>
      <c r="L216" s="8"/>
      <c r="M216" s="8"/>
      <c r="N216" s="8">
        <f>946*20.77</f>
        <v>19648.42</v>
      </c>
      <c r="O216" s="24">
        <f t="shared" si="53"/>
        <v>6246.350000000001</v>
      </c>
      <c r="P216" s="32">
        <f t="shared" si="64"/>
        <v>115342.23399999998</v>
      </c>
      <c r="Q216" s="32">
        <f>D216*1.27*5+D216*1.34*7</f>
        <v>35729.122</v>
      </c>
      <c r="R216" s="34">
        <f t="shared" si="54"/>
        <v>83814.66</v>
      </c>
      <c r="S216" s="19"/>
      <c r="T216" s="19"/>
      <c r="U216" s="19"/>
      <c r="V216" s="19"/>
      <c r="W216" s="19"/>
      <c r="X216" s="19"/>
      <c r="Y216" s="32">
        <f t="shared" si="65"/>
        <v>0</v>
      </c>
      <c r="Z216" s="32">
        <f t="shared" si="55"/>
        <v>35161.272000000004</v>
      </c>
      <c r="AA216" s="32"/>
      <c r="AB216" s="32">
        <f t="shared" si="51"/>
        <v>13355.832000000002</v>
      </c>
      <c r="AC216" s="34">
        <f t="shared" si="56"/>
        <v>6362.32</v>
      </c>
      <c r="AD216" s="8"/>
      <c r="AE216" s="8"/>
      <c r="AF216" s="34"/>
      <c r="AG216" s="32">
        <f t="shared" si="57"/>
        <v>32163.023999999998</v>
      </c>
      <c r="AH216" s="32"/>
      <c r="AI216" s="32">
        <f t="shared" si="66"/>
        <v>321928.464</v>
      </c>
    </row>
    <row r="217" spans="1:35" ht="15.75">
      <c r="A217" s="3" t="s">
        <v>134</v>
      </c>
      <c r="B217" s="4" t="s">
        <v>65</v>
      </c>
      <c r="C217" s="3" t="s">
        <v>2</v>
      </c>
      <c r="D217" s="26">
        <v>2891.4</v>
      </c>
      <c r="E217" s="19">
        <f t="shared" si="58"/>
        <v>12490.848</v>
      </c>
      <c r="F217" s="19">
        <f t="shared" si="59"/>
        <v>41289.192</v>
      </c>
      <c r="G217" s="19">
        <f t="shared" si="60"/>
        <v>40942.224</v>
      </c>
      <c r="H217" s="19">
        <f t="shared" si="61"/>
        <v>9021.168</v>
      </c>
      <c r="I217" s="19">
        <f t="shared" si="62"/>
        <v>2081.808</v>
      </c>
      <c r="J217" s="19">
        <f t="shared" si="63"/>
        <v>6245.424</v>
      </c>
      <c r="K217" s="19">
        <f>32*8*4+32*6*2</f>
        <v>1408</v>
      </c>
      <c r="L217" s="8">
        <f>144.73*3</f>
        <v>434.18999999999994</v>
      </c>
      <c r="M217" s="8"/>
      <c r="N217" s="8"/>
      <c r="O217" s="24">
        <f t="shared" si="53"/>
        <v>7951.350000000001</v>
      </c>
      <c r="P217" s="32">
        <f t="shared" si="64"/>
        <v>121864.20400000001</v>
      </c>
      <c r="Q217" s="32">
        <f>D217*1.27*5+D217*1.34*7</f>
        <v>45481.722</v>
      </c>
      <c r="R217" s="34">
        <f t="shared" si="54"/>
        <v>106692.66</v>
      </c>
      <c r="S217" s="19"/>
      <c r="T217" s="19"/>
      <c r="U217" s="19"/>
      <c r="V217" s="19"/>
      <c r="W217" s="19"/>
      <c r="X217" s="19"/>
      <c r="Y217" s="32">
        <f t="shared" si="65"/>
        <v>0</v>
      </c>
      <c r="Z217" s="32">
        <f t="shared" si="55"/>
        <v>44758.872</v>
      </c>
      <c r="AA217" s="32"/>
      <c r="AB217" s="32">
        <f t="shared" si="51"/>
        <v>17001.432</v>
      </c>
      <c r="AC217" s="34">
        <f t="shared" si="56"/>
        <v>8098.320000000001</v>
      </c>
      <c r="AD217" s="8"/>
      <c r="AE217" s="8"/>
      <c r="AF217" s="34"/>
      <c r="AG217" s="32">
        <f t="shared" si="57"/>
        <v>40942.224</v>
      </c>
      <c r="AH217" s="32"/>
      <c r="AI217" s="32">
        <f t="shared" si="66"/>
        <v>384839.434</v>
      </c>
    </row>
    <row r="218" spans="1:35" ht="15.75">
      <c r="A218" s="3" t="s">
        <v>134</v>
      </c>
      <c r="B218" s="4" t="s">
        <v>67</v>
      </c>
      <c r="C218" s="3" t="s">
        <v>2</v>
      </c>
      <c r="D218" s="26">
        <v>2037.3</v>
      </c>
      <c r="E218" s="19">
        <f t="shared" si="58"/>
        <v>8801.136</v>
      </c>
      <c r="F218" s="19">
        <f t="shared" si="59"/>
        <v>29092.643999999997</v>
      </c>
      <c r="G218" s="19">
        <f t="shared" si="60"/>
        <v>28848.167999999998</v>
      </c>
      <c r="H218" s="19">
        <f t="shared" si="61"/>
        <v>6356.376</v>
      </c>
      <c r="I218" s="19">
        <f t="shared" si="62"/>
        <v>1466.856</v>
      </c>
      <c r="J218" s="19">
        <f t="shared" si="63"/>
        <v>4400.568</v>
      </c>
      <c r="K218" s="19">
        <f>48*8*4+48*6*2</f>
        <v>2112</v>
      </c>
      <c r="L218" s="8">
        <f>144.73*3</f>
        <v>434.18999999999994</v>
      </c>
      <c r="M218" s="8"/>
      <c r="N218" s="8">
        <f>1001*20.77</f>
        <v>20790.77</v>
      </c>
      <c r="O218" s="24">
        <f t="shared" si="53"/>
        <v>5602.575000000001</v>
      </c>
      <c r="P218" s="32">
        <f t="shared" si="64"/>
        <v>107905.28300000001</v>
      </c>
      <c r="Q218" s="32">
        <f>D218*1.27*5+D218*1.34*7</f>
        <v>32046.729</v>
      </c>
      <c r="R218" s="34">
        <f t="shared" si="54"/>
        <v>75176.37</v>
      </c>
      <c r="S218" s="19"/>
      <c r="T218" s="19"/>
      <c r="U218" s="19"/>
      <c r="V218" s="19">
        <f>220*150</f>
        <v>33000</v>
      </c>
      <c r="W218" s="19"/>
      <c r="X218" s="19"/>
      <c r="Y218" s="32">
        <f t="shared" si="65"/>
        <v>33000</v>
      </c>
      <c r="Z218" s="32">
        <f t="shared" si="55"/>
        <v>31537.404000000002</v>
      </c>
      <c r="AA218" s="32"/>
      <c r="AB218" s="32">
        <f t="shared" si="51"/>
        <v>11979.323999999999</v>
      </c>
      <c r="AC218" s="34">
        <f t="shared" si="56"/>
        <v>5706.84</v>
      </c>
      <c r="AD218" s="8"/>
      <c r="AE218" s="8"/>
      <c r="AF218" s="34"/>
      <c r="AG218" s="32">
        <f t="shared" si="57"/>
        <v>28848.167999999998</v>
      </c>
      <c r="AH218" s="32"/>
      <c r="AI218" s="32">
        <f t="shared" si="66"/>
        <v>326200.1180000001</v>
      </c>
    </row>
    <row r="219" spans="1:35" ht="15.75">
      <c r="A219" s="5" t="s">
        <v>135</v>
      </c>
      <c r="B219" s="5" t="s">
        <v>16</v>
      </c>
      <c r="C219" s="3" t="s">
        <v>2</v>
      </c>
      <c r="D219" s="29">
        <v>47.3</v>
      </c>
      <c r="E219" s="19">
        <f t="shared" si="58"/>
        <v>204.33599999999998</v>
      </c>
      <c r="F219" s="19">
        <f t="shared" si="59"/>
        <v>675.444</v>
      </c>
      <c r="G219" s="19">
        <f t="shared" si="60"/>
        <v>669.7679999999999</v>
      </c>
      <c r="H219" s="19">
        <f t="shared" si="61"/>
        <v>147.576</v>
      </c>
      <c r="I219" s="19">
        <f t="shared" si="62"/>
        <v>34.056</v>
      </c>
      <c r="J219" s="19">
        <f t="shared" si="63"/>
        <v>102.16799999999999</v>
      </c>
      <c r="K219" s="19">
        <f>2*6*2</f>
        <v>24</v>
      </c>
      <c r="L219" s="8" t="s">
        <v>187</v>
      </c>
      <c r="M219" s="8"/>
      <c r="N219" s="8"/>
      <c r="O219" s="24">
        <f t="shared" si="53"/>
        <v>130.075</v>
      </c>
      <c r="P219" s="32">
        <f t="shared" si="64"/>
        <v>1987.4229999999998</v>
      </c>
      <c r="Q219" s="32"/>
      <c r="R219" s="34">
        <f t="shared" si="54"/>
        <v>1745.37</v>
      </c>
      <c r="S219" s="19"/>
      <c r="T219" s="19"/>
      <c r="U219" s="19"/>
      <c r="V219" s="19"/>
      <c r="W219" s="19"/>
      <c r="X219" s="19"/>
      <c r="Y219" s="32">
        <f t="shared" si="65"/>
        <v>0</v>
      </c>
      <c r="Z219" s="32">
        <f t="shared" si="55"/>
        <v>732.204</v>
      </c>
      <c r="AA219" s="32"/>
      <c r="AB219" s="32">
        <f t="shared" si="51"/>
        <v>278.124</v>
      </c>
      <c r="AC219" s="34">
        <f t="shared" si="56"/>
        <v>134.84</v>
      </c>
      <c r="AD219" s="8"/>
      <c r="AE219" s="8"/>
      <c r="AF219" s="34"/>
      <c r="AG219" s="32">
        <f t="shared" si="57"/>
        <v>669.7679999999999</v>
      </c>
      <c r="AH219" s="32"/>
      <c r="AI219" s="32">
        <f t="shared" si="66"/>
        <v>5547.728999999999</v>
      </c>
    </row>
    <row r="220" spans="1:35" ht="15.75">
      <c r="A220" s="3" t="s">
        <v>136</v>
      </c>
      <c r="B220" s="4" t="s">
        <v>1</v>
      </c>
      <c r="C220" s="3" t="s">
        <v>2</v>
      </c>
      <c r="D220" s="26">
        <v>2766.2</v>
      </c>
      <c r="E220" s="19">
        <f t="shared" si="58"/>
        <v>11949.983999999999</v>
      </c>
      <c r="F220" s="19">
        <f t="shared" si="59"/>
        <v>39501.335999999996</v>
      </c>
      <c r="G220" s="19">
        <f t="shared" si="60"/>
        <v>39169.39199999999</v>
      </c>
      <c r="H220" s="19">
        <f t="shared" si="61"/>
        <v>8630.544</v>
      </c>
      <c r="I220" s="19">
        <f t="shared" si="62"/>
        <v>1991.6639999999998</v>
      </c>
      <c r="J220" s="19">
        <f t="shared" si="63"/>
        <v>5974.991999999999</v>
      </c>
      <c r="K220" s="19">
        <f>60*8+60*6*2</f>
        <v>1200</v>
      </c>
      <c r="L220" s="8">
        <f>144.73*3</f>
        <v>434.18999999999994</v>
      </c>
      <c r="M220" s="8"/>
      <c r="N220" s="8"/>
      <c r="O220" s="24">
        <f t="shared" si="53"/>
        <v>7607.05</v>
      </c>
      <c r="P220" s="32">
        <f t="shared" si="64"/>
        <v>116459.15199999999</v>
      </c>
      <c r="Q220" s="32">
        <f>D220*1.27*5+D220*1.34*7</f>
        <v>43512.326</v>
      </c>
      <c r="R220" s="34">
        <f t="shared" si="54"/>
        <v>102072.78</v>
      </c>
      <c r="S220" s="19"/>
      <c r="T220" s="19">
        <f>50*135</f>
        <v>6750</v>
      </c>
      <c r="U220" s="19"/>
      <c r="V220" s="19"/>
      <c r="W220" s="19"/>
      <c r="X220" s="19"/>
      <c r="Y220" s="32">
        <f t="shared" si="65"/>
        <v>6750</v>
      </c>
      <c r="Z220" s="32">
        <f t="shared" si="55"/>
        <v>42820.776</v>
      </c>
      <c r="AA220" s="32"/>
      <c r="AB220" s="32">
        <f t="shared" si="51"/>
        <v>16265.255999999998</v>
      </c>
      <c r="AC220" s="34">
        <f t="shared" si="56"/>
        <v>7747.76</v>
      </c>
      <c r="AD220" s="8"/>
      <c r="AE220" s="8"/>
      <c r="AF220" s="34"/>
      <c r="AG220" s="32">
        <f t="shared" si="57"/>
        <v>39169.39199999999</v>
      </c>
      <c r="AH220" s="32"/>
      <c r="AI220" s="32">
        <f t="shared" si="66"/>
        <v>374797.44200000004</v>
      </c>
    </row>
    <row r="221" spans="1:35" ht="15.75">
      <c r="A221" s="3" t="s">
        <v>136</v>
      </c>
      <c r="B221" s="4" t="s">
        <v>71</v>
      </c>
      <c r="C221" s="3" t="s">
        <v>2</v>
      </c>
      <c r="D221" s="26">
        <v>5812.5</v>
      </c>
      <c r="E221" s="19">
        <f t="shared" si="58"/>
        <v>25110</v>
      </c>
      <c r="F221" s="19">
        <f t="shared" si="59"/>
        <v>83002.5</v>
      </c>
      <c r="G221" s="19">
        <f t="shared" si="60"/>
        <v>82305</v>
      </c>
      <c r="H221" s="19">
        <f t="shared" si="61"/>
        <v>18135</v>
      </c>
      <c r="I221" s="19">
        <f t="shared" si="62"/>
        <v>4185</v>
      </c>
      <c r="J221" s="19">
        <f t="shared" si="63"/>
        <v>12555</v>
      </c>
      <c r="K221" s="19">
        <f>119*8+119*6*2</f>
        <v>2380</v>
      </c>
      <c r="L221" s="8">
        <f>144.73*137</f>
        <v>19828.01</v>
      </c>
      <c r="M221" s="8"/>
      <c r="N221" s="8"/>
      <c r="O221" s="24">
        <f t="shared" si="53"/>
        <v>15984.375000000002</v>
      </c>
      <c r="P221" s="32">
        <f t="shared" si="64"/>
        <v>263484.885</v>
      </c>
      <c r="Q221" s="32">
        <f>D221*1.27*5+D221*1.34*7</f>
        <v>91430.625</v>
      </c>
      <c r="R221" s="34">
        <f t="shared" si="54"/>
        <v>214481.25</v>
      </c>
      <c r="S221" s="19"/>
      <c r="T221" s="19">
        <v>116370.01</v>
      </c>
      <c r="U221" s="19"/>
      <c r="V221" s="19"/>
      <c r="W221" s="19"/>
      <c r="X221" s="19"/>
      <c r="Y221" s="32">
        <f t="shared" si="65"/>
        <v>116370.01</v>
      </c>
      <c r="Z221" s="32">
        <f t="shared" si="55"/>
        <v>89977.5</v>
      </c>
      <c r="AA221" s="32"/>
      <c r="AB221" s="32">
        <f t="shared" si="51"/>
        <v>34177.5</v>
      </c>
      <c r="AC221" s="34">
        <f t="shared" si="56"/>
        <v>16277.4</v>
      </c>
      <c r="AD221" s="8"/>
      <c r="AE221" s="8"/>
      <c r="AF221" s="34"/>
      <c r="AG221" s="32">
        <f t="shared" si="57"/>
        <v>82305</v>
      </c>
      <c r="AH221" s="32"/>
      <c r="AI221" s="32">
        <f t="shared" si="66"/>
        <v>908504.17</v>
      </c>
    </row>
    <row r="222" spans="1:35" ht="15.75">
      <c r="A222" s="3" t="s">
        <v>136</v>
      </c>
      <c r="B222" s="4" t="s">
        <v>72</v>
      </c>
      <c r="C222" s="3" t="s">
        <v>2</v>
      </c>
      <c r="D222" s="26">
        <v>2717.5</v>
      </c>
      <c r="E222" s="19">
        <f t="shared" si="58"/>
        <v>11739.599999999999</v>
      </c>
      <c r="F222" s="19">
        <f t="shared" si="59"/>
        <v>38805.899999999994</v>
      </c>
      <c r="G222" s="19">
        <f t="shared" si="60"/>
        <v>38479.799999999996</v>
      </c>
      <c r="H222" s="19">
        <f t="shared" si="61"/>
        <v>8478.6</v>
      </c>
      <c r="I222" s="19">
        <f t="shared" si="62"/>
        <v>1956.6</v>
      </c>
      <c r="J222" s="19">
        <f t="shared" si="63"/>
        <v>5869.799999999999</v>
      </c>
      <c r="K222" s="19">
        <f>60*8+60*6*2</f>
        <v>1200</v>
      </c>
      <c r="L222" s="8">
        <f>144.73*3</f>
        <v>434.18999999999994</v>
      </c>
      <c r="M222" s="8"/>
      <c r="N222" s="8"/>
      <c r="O222" s="24">
        <f t="shared" si="53"/>
        <v>7473.125000000001</v>
      </c>
      <c r="P222" s="32">
        <f t="shared" si="64"/>
        <v>114437.615</v>
      </c>
      <c r="Q222" s="32">
        <f>D222*1.27*5+D222*1.34*7</f>
        <v>42746.275</v>
      </c>
      <c r="R222" s="34">
        <f t="shared" si="54"/>
        <v>100275.75</v>
      </c>
      <c r="S222" s="19"/>
      <c r="T222" s="19">
        <v>9390</v>
      </c>
      <c r="U222" s="19"/>
      <c r="V222" s="19"/>
      <c r="W222" s="19"/>
      <c r="X222" s="19"/>
      <c r="Y222" s="32">
        <f t="shared" si="65"/>
        <v>9390</v>
      </c>
      <c r="Z222" s="32">
        <f t="shared" si="55"/>
        <v>42066.9</v>
      </c>
      <c r="AA222" s="32"/>
      <c r="AB222" s="32">
        <f t="shared" si="51"/>
        <v>15978.900000000001</v>
      </c>
      <c r="AC222" s="34">
        <f t="shared" si="56"/>
        <v>7611.4</v>
      </c>
      <c r="AD222" s="8"/>
      <c r="AE222" s="8"/>
      <c r="AF222" s="34"/>
      <c r="AG222" s="32">
        <f t="shared" si="57"/>
        <v>38479.799999999996</v>
      </c>
      <c r="AH222" s="32"/>
      <c r="AI222" s="32">
        <f t="shared" si="66"/>
        <v>370986.6400000001</v>
      </c>
    </row>
    <row r="223" spans="1:35" ht="15.75">
      <c r="A223" s="3" t="s">
        <v>136</v>
      </c>
      <c r="B223" s="4" t="s">
        <v>65</v>
      </c>
      <c r="C223" s="3" t="s">
        <v>2</v>
      </c>
      <c r="D223" s="26">
        <v>5704</v>
      </c>
      <c r="E223" s="19">
        <f t="shared" si="58"/>
        <v>24641.28</v>
      </c>
      <c r="F223" s="19">
        <f t="shared" si="59"/>
        <v>81453.12</v>
      </c>
      <c r="G223" s="19">
        <f t="shared" si="60"/>
        <v>80768.63999999998</v>
      </c>
      <c r="H223" s="19">
        <f t="shared" si="61"/>
        <v>17796.48</v>
      </c>
      <c r="I223" s="19">
        <f t="shared" si="62"/>
        <v>4106.88</v>
      </c>
      <c r="J223" s="19">
        <f t="shared" si="63"/>
        <v>12320.64</v>
      </c>
      <c r="K223" s="19">
        <f>118*8+118*6*2</f>
        <v>2360</v>
      </c>
      <c r="L223" s="8">
        <f>144.73*3</f>
        <v>434.18999999999994</v>
      </c>
      <c r="M223" s="8"/>
      <c r="N223" s="8"/>
      <c r="O223" s="24">
        <f t="shared" si="53"/>
        <v>15686.000000000002</v>
      </c>
      <c r="P223" s="32">
        <f t="shared" si="64"/>
        <v>239567.22999999998</v>
      </c>
      <c r="Q223" s="32">
        <f>D223*1.27*5+D223*1.34*7</f>
        <v>89723.92000000001</v>
      </c>
      <c r="R223" s="34">
        <f t="shared" si="54"/>
        <v>210477.6</v>
      </c>
      <c r="S223" s="19"/>
      <c r="T223" s="19"/>
      <c r="U223" s="19"/>
      <c r="V223" s="19"/>
      <c r="W223" s="19">
        <f>4.4*220</f>
        <v>968.0000000000001</v>
      </c>
      <c r="X223" s="19"/>
      <c r="Y223" s="32">
        <f t="shared" si="65"/>
        <v>968.0000000000001</v>
      </c>
      <c r="Z223" s="32">
        <f t="shared" si="55"/>
        <v>88297.92</v>
      </c>
      <c r="AA223" s="32"/>
      <c r="AB223" s="32">
        <f aca="true" t="shared" si="67" ref="AB223:AB255">D223*0.49*12</f>
        <v>33539.520000000004</v>
      </c>
      <c r="AC223" s="34">
        <f t="shared" si="56"/>
        <v>15973.599999999999</v>
      </c>
      <c r="AD223" s="8"/>
      <c r="AE223" s="8"/>
      <c r="AF223" s="34"/>
      <c r="AG223" s="32">
        <f t="shared" si="57"/>
        <v>80768.63999999998</v>
      </c>
      <c r="AH223" s="32">
        <v>57500</v>
      </c>
      <c r="AI223" s="32">
        <f t="shared" si="66"/>
        <v>816816.43</v>
      </c>
    </row>
    <row r="224" spans="1:35" ht="15.75">
      <c r="A224" s="3" t="s">
        <v>136</v>
      </c>
      <c r="B224" s="4" t="s">
        <v>129</v>
      </c>
      <c r="C224" s="3" t="s">
        <v>2</v>
      </c>
      <c r="D224" s="26">
        <v>3447.4</v>
      </c>
      <c r="E224" s="19">
        <f t="shared" si="58"/>
        <v>14892.768</v>
      </c>
      <c r="F224" s="19">
        <f t="shared" si="59"/>
        <v>49228.872</v>
      </c>
      <c r="G224" s="19">
        <f t="shared" si="60"/>
        <v>48815.183999999994</v>
      </c>
      <c r="H224" s="19">
        <f t="shared" si="61"/>
        <v>10755.888</v>
      </c>
      <c r="I224" s="19">
        <f t="shared" si="62"/>
        <v>2482.1279999999997</v>
      </c>
      <c r="J224" s="19">
        <f t="shared" si="63"/>
        <v>7446.384</v>
      </c>
      <c r="K224" s="19">
        <f>75*6*2</f>
        <v>900</v>
      </c>
      <c r="L224" s="8">
        <f>144.73*3</f>
        <v>434.18999999999994</v>
      </c>
      <c r="M224" s="8"/>
      <c r="N224" s="8"/>
      <c r="O224" s="24">
        <f t="shared" si="53"/>
        <v>9480.35</v>
      </c>
      <c r="P224" s="32">
        <f t="shared" si="64"/>
        <v>144435.764</v>
      </c>
      <c r="Q224" s="32">
        <f>D224*1.27*5+D224*1.34*7</f>
        <v>54227.602000000006</v>
      </c>
      <c r="R224" s="34">
        <f t="shared" si="54"/>
        <v>127209.06000000001</v>
      </c>
      <c r="S224" s="19"/>
      <c r="T224" s="19">
        <v>122700</v>
      </c>
      <c r="U224" s="19"/>
      <c r="V224" s="19"/>
      <c r="W224" s="19"/>
      <c r="X224" s="19"/>
      <c r="Y224" s="32">
        <f t="shared" si="65"/>
        <v>122700</v>
      </c>
      <c r="Z224" s="32">
        <f t="shared" si="55"/>
        <v>53365.75200000001</v>
      </c>
      <c r="AA224" s="32"/>
      <c r="AB224" s="32">
        <f t="shared" si="67"/>
        <v>20270.712</v>
      </c>
      <c r="AC224" s="34">
        <f t="shared" si="56"/>
        <v>9655.12</v>
      </c>
      <c r="AD224" s="8"/>
      <c r="AE224" s="8"/>
      <c r="AF224" s="34"/>
      <c r="AG224" s="32">
        <f t="shared" si="57"/>
        <v>48815.183999999994</v>
      </c>
      <c r="AH224" s="32"/>
      <c r="AI224" s="32">
        <f t="shared" si="66"/>
        <v>580679.1940000001</v>
      </c>
    </row>
    <row r="225" spans="1:35" ht="15.75">
      <c r="A225" s="5" t="s">
        <v>137</v>
      </c>
      <c r="B225" s="5" t="s">
        <v>69</v>
      </c>
      <c r="C225" s="6" t="s">
        <v>2</v>
      </c>
      <c r="D225" s="29">
        <v>770.4</v>
      </c>
      <c r="E225" s="19">
        <f t="shared" si="58"/>
        <v>3328.1279999999997</v>
      </c>
      <c r="F225" s="19">
        <f t="shared" si="59"/>
        <v>11001.312</v>
      </c>
      <c r="G225" s="19">
        <f t="shared" si="60"/>
        <v>10908.863999999998</v>
      </c>
      <c r="H225" s="19">
        <f t="shared" si="61"/>
        <v>2403.648</v>
      </c>
      <c r="I225" s="19">
        <f t="shared" si="62"/>
        <v>554.688</v>
      </c>
      <c r="J225" s="19">
        <f t="shared" si="63"/>
        <v>1664.0639999999999</v>
      </c>
      <c r="K225" s="19">
        <f>4*6*2</f>
        <v>48</v>
      </c>
      <c r="L225" s="8"/>
      <c r="M225" s="8"/>
      <c r="N225" s="8"/>
      <c r="O225" s="24">
        <f t="shared" si="53"/>
        <v>2118.6000000000004</v>
      </c>
      <c r="P225" s="32">
        <f t="shared" si="64"/>
        <v>32027.303999999996</v>
      </c>
      <c r="Q225" s="32"/>
      <c r="R225" s="34">
        <f t="shared" si="54"/>
        <v>28427.759999999995</v>
      </c>
      <c r="S225" s="19"/>
      <c r="T225" s="19"/>
      <c r="U225" s="19"/>
      <c r="V225" s="19"/>
      <c r="W225" s="19"/>
      <c r="X225" s="19"/>
      <c r="Y225" s="32">
        <f t="shared" si="65"/>
        <v>0</v>
      </c>
      <c r="Z225" s="32">
        <f t="shared" si="55"/>
        <v>11925.792000000001</v>
      </c>
      <c r="AA225" s="32"/>
      <c r="AB225" s="32">
        <f t="shared" si="67"/>
        <v>4529.951999999999</v>
      </c>
      <c r="AC225" s="34">
        <f t="shared" si="56"/>
        <v>2159.5200000000004</v>
      </c>
      <c r="AD225" s="8"/>
      <c r="AE225" s="8"/>
      <c r="AF225" s="34"/>
      <c r="AG225" s="32">
        <f t="shared" si="57"/>
        <v>10908.863999999998</v>
      </c>
      <c r="AH225" s="32">
        <v>57500</v>
      </c>
      <c r="AI225" s="32">
        <f t="shared" si="66"/>
        <v>147479.192</v>
      </c>
    </row>
    <row r="226" spans="1:35" ht="15.75">
      <c r="A226" s="3" t="s">
        <v>137</v>
      </c>
      <c r="B226" s="4" t="s">
        <v>37</v>
      </c>
      <c r="C226" s="3" t="s">
        <v>2</v>
      </c>
      <c r="D226" s="26">
        <v>3239.9</v>
      </c>
      <c r="E226" s="19">
        <f t="shared" si="58"/>
        <v>13996.368</v>
      </c>
      <c r="F226" s="19">
        <f t="shared" si="59"/>
        <v>46265.772</v>
      </c>
      <c r="G226" s="19">
        <f t="shared" si="60"/>
        <v>45876.984</v>
      </c>
      <c r="H226" s="19">
        <f t="shared" si="61"/>
        <v>10108.488000000001</v>
      </c>
      <c r="I226" s="19">
        <f t="shared" si="62"/>
        <v>2332.728</v>
      </c>
      <c r="J226" s="19">
        <f t="shared" si="63"/>
        <v>6998.184</v>
      </c>
      <c r="K226" s="19">
        <f>60*6*2</f>
        <v>720</v>
      </c>
      <c r="L226" s="8">
        <f>144.73*3</f>
        <v>434.18999999999994</v>
      </c>
      <c r="M226" s="8"/>
      <c r="N226" s="8"/>
      <c r="O226" s="24">
        <f t="shared" si="53"/>
        <v>8909.725</v>
      </c>
      <c r="P226" s="32">
        <f t="shared" si="64"/>
        <v>135642.43899999998</v>
      </c>
      <c r="Q226" s="32">
        <f>D226*1.27*5+D226*1.34*7</f>
        <v>50963.627</v>
      </c>
      <c r="R226" s="34">
        <f t="shared" si="54"/>
        <v>119552.31000000001</v>
      </c>
      <c r="S226" s="19"/>
      <c r="T226" s="19"/>
      <c r="U226" s="19"/>
      <c r="V226" s="19"/>
      <c r="W226" s="19"/>
      <c r="X226" s="19"/>
      <c r="Y226" s="32">
        <f t="shared" si="65"/>
        <v>0</v>
      </c>
      <c r="Z226" s="32">
        <f t="shared" si="55"/>
        <v>50153.652</v>
      </c>
      <c r="AA226" s="32"/>
      <c r="AB226" s="32">
        <f t="shared" si="67"/>
        <v>19050.612</v>
      </c>
      <c r="AC226" s="34">
        <f t="shared" si="56"/>
        <v>9074.12</v>
      </c>
      <c r="AD226" s="8"/>
      <c r="AE226" s="8"/>
      <c r="AF226" s="34"/>
      <c r="AG226" s="32">
        <f t="shared" si="57"/>
        <v>45876.984</v>
      </c>
      <c r="AH226" s="32">
        <v>57500</v>
      </c>
      <c r="AI226" s="32">
        <f t="shared" si="66"/>
        <v>487813.744</v>
      </c>
    </row>
    <row r="227" spans="1:35" ht="15.75">
      <c r="A227" s="5" t="s">
        <v>137</v>
      </c>
      <c r="B227" s="5" t="s">
        <v>81</v>
      </c>
      <c r="C227" s="6" t="s">
        <v>2</v>
      </c>
      <c r="D227" s="27">
        <v>117.5</v>
      </c>
      <c r="E227" s="19">
        <f t="shared" si="58"/>
        <v>507.59999999999997</v>
      </c>
      <c r="F227" s="19">
        <f t="shared" si="59"/>
        <v>1677.8999999999999</v>
      </c>
      <c r="G227" s="19">
        <f t="shared" si="60"/>
        <v>1663.8000000000002</v>
      </c>
      <c r="H227" s="19">
        <f t="shared" si="61"/>
        <v>366.6</v>
      </c>
      <c r="I227" s="19">
        <f t="shared" si="62"/>
        <v>84.6</v>
      </c>
      <c r="J227" s="19">
        <f t="shared" si="63"/>
        <v>253.79999999999998</v>
      </c>
      <c r="K227" s="19">
        <f>2*230</f>
        <v>460</v>
      </c>
      <c r="L227" s="8"/>
      <c r="M227" s="8"/>
      <c r="N227" s="8"/>
      <c r="O227" s="24">
        <f t="shared" si="53"/>
        <v>323.125</v>
      </c>
      <c r="P227" s="32">
        <f t="shared" si="64"/>
        <v>5337.425000000001</v>
      </c>
      <c r="Q227" s="32"/>
      <c r="R227" s="34">
        <f t="shared" si="54"/>
        <v>4335.75</v>
      </c>
      <c r="S227" s="19"/>
      <c r="T227" s="19"/>
      <c r="U227" s="19"/>
      <c r="V227" s="19"/>
      <c r="W227" s="19"/>
      <c r="X227" s="19"/>
      <c r="Y227" s="32">
        <f t="shared" si="65"/>
        <v>0</v>
      </c>
      <c r="Z227" s="32">
        <f t="shared" si="55"/>
        <v>1818.9</v>
      </c>
      <c r="AA227" s="32"/>
      <c r="AB227" s="32">
        <f t="shared" si="67"/>
        <v>690.9</v>
      </c>
      <c r="AC227" s="34">
        <f t="shared" si="56"/>
        <v>331.4</v>
      </c>
      <c r="AD227" s="8"/>
      <c r="AE227" s="8"/>
      <c r="AF227" s="34"/>
      <c r="AG227" s="32">
        <f t="shared" si="57"/>
        <v>1663.8000000000002</v>
      </c>
      <c r="AH227" s="32"/>
      <c r="AI227" s="32">
        <f t="shared" si="66"/>
        <v>14178.175</v>
      </c>
    </row>
    <row r="228" spans="1:35" ht="15.75">
      <c r="A228" s="3" t="s">
        <v>137</v>
      </c>
      <c r="B228" s="4" t="s">
        <v>67</v>
      </c>
      <c r="C228" s="3" t="s">
        <v>2</v>
      </c>
      <c r="D228" s="26">
        <v>646.6</v>
      </c>
      <c r="E228" s="19">
        <f t="shared" si="58"/>
        <v>2793.312</v>
      </c>
      <c r="F228" s="19">
        <f t="shared" si="59"/>
        <v>9233.448</v>
      </c>
      <c r="G228" s="19">
        <f t="shared" si="60"/>
        <v>9155.856</v>
      </c>
      <c r="H228" s="19">
        <f t="shared" si="61"/>
        <v>2017.3920000000003</v>
      </c>
      <c r="I228" s="19">
        <f t="shared" si="62"/>
        <v>465.552</v>
      </c>
      <c r="J228" s="19">
        <f t="shared" si="63"/>
        <v>1396.656</v>
      </c>
      <c r="K228" s="19">
        <f>16*6*2</f>
        <v>192</v>
      </c>
      <c r="L228" s="8"/>
      <c r="M228" s="8"/>
      <c r="N228" s="8"/>
      <c r="O228" s="24">
        <f t="shared" si="53"/>
        <v>1778.1500000000003</v>
      </c>
      <c r="P228" s="32">
        <f t="shared" si="64"/>
        <v>27032.366</v>
      </c>
      <c r="Q228" s="32"/>
      <c r="R228" s="34">
        <f t="shared" si="54"/>
        <v>23859.54</v>
      </c>
      <c r="S228" s="19"/>
      <c r="T228" s="19"/>
      <c r="U228" s="19"/>
      <c r="V228" s="19"/>
      <c r="W228" s="19"/>
      <c r="X228" s="19"/>
      <c r="Y228" s="32">
        <f t="shared" si="65"/>
        <v>0</v>
      </c>
      <c r="Z228" s="32">
        <f t="shared" si="55"/>
        <v>10009.368</v>
      </c>
      <c r="AA228" s="32"/>
      <c r="AB228" s="32">
        <f t="shared" si="67"/>
        <v>3802.008</v>
      </c>
      <c r="AC228" s="34">
        <f t="shared" si="56"/>
        <v>1812.8800000000003</v>
      </c>
      <c r="AD228" s="8"/>
      <c r="AE228" s="8"/>
      <c r="AF228" s="34"/>
      <c r="AG228" s="32">
        <f t="shared" si="57"/>
        <v>9155.856</v>
      </c>
      <c r="AH228" s="32">
        <v>57500</v>
      </c>
      <c r="AI228" s="32">
        <f t="shared" si="66"/>
        <v>133172.018</v>
      </c>
    </row>
    <row r="229" spans="1:35" ht="15.75">
      <c r="A229" s="3" t="s">
        <v>138</v>
      </c>
      <c r="B229" s="4" t="s">
        <v>70</v>
      </c>
      <c r="C229" s="3" t="s">
        <v>66</v>
      </c>
      <c r="D229" s="26">
        <v>17755</v>
      </c>
      <c r="E229" s="19">
        <f t="shared" si="58"/>
        <v>76701.6</v>
      </c>
      <c r="F229" s="19">
        <f t="shared" si="59"/>
        <v>253541.40000000002</v>
      </c>
      <c r="G229" s="19">
        <f t="shared" si="60"/>
        <v>251410.8</v>
      </c>
      <c r="H229" s="19">
        <f t="shared" si="61"/>
        <v>55395.600000000006</v>
      </c>
      <c r="I229" s="19">
        <f t="shared" si="62"/>
        <v>12783.599999999999</v>
      </c>
      <c r="J229" s="19">
        <f t="shared" si="63"/>
        <v>38350.8</v>
      </c>
      <c r="K229" s="19">
        <f>358*6*2</f>
        <v>4296</v>
      </c>
      <c r="L229" s="8">
        <f>144.73*2</f>
        <v>289.46</v>
      </c>
      <c r="M229" s="8">
        <f>10*142.42*1.5</f>
        <v>2136.2999999999997</v>
      </c>
      <c r="N229" s="8"/>
      <c r="O229" s="24">
        <f t="shared" si="53"/>
        <v>48826.25</v>
      </c>
      <c r="P229" s="32">
        <f t="shared" si="64"/>
        <v>743731.81</v>
      </c>
      <c r="Q229" s="32">
        <f aca="true" t="shared" si="68" ref="Q229:Q241">D229*1.27*5+D229*1.34*7</f>
        <v>279286.15</v>
      </c>
      <c r="R229" s="34">
        <f t="shared" si="54"/>
        <v>655159.5</v>
      </c>
      <c r="S229" s="19"/>
      <c r="T229" s="19"/>
      <c r="U229" s="19"/>
      <c r="V229" s="19"/>
      <c r="W229" s="19"/>
      <c r="X229" s="19"/>
      <c r="Y229" s="32">
        <f t="shared" si="65"/>
        <v>0</v>
      </c>
      <c r="Z229" s="32">
        <f t="shared" si="55"/>
        <v>274847.4</v>
      </c>
      <c r="AA229" s="32">
        <f>D229*1.01*5+0.96*D229*7</f>
        <v>208976.34999999998</v>
      </c>
      <c r="AB229" s="32">
        <f t="shared" si="67"/>
        <v>104399.40000000001</v>
      </c>
      <c r="AC229" s="34">
        <f t="shared" si="56"/>
        <v>49716.4</v>
      </c>
      <c r="AD229" s="8">
        <v>301040.89</v>
      </c>
      <c r="AE229" s="19">
        <v>17379.4</v>
      </c>
      <c r="AF229" s="34">
        <f>SUM(AD229:AE229)</f>
        <v>318420.29000000004</v>
      </c>
      <c r="AG229" s="32">
        <f t="shared" si="57"/>
        <v>251410.8</v>
      </c>
      <c r="AH229" s="32"/>
      <c r="AI229" s="32">
        <f t="shared" si="66"/>
        <v>2885948.0999999996</v>
      </c>
    </row>
    <row r="230" spans="1:35" ht="15.75">
      <c r="A230" s="3" t="s">
        <v>138</v>
      </c>
      <c r="B230" s="4" t="s">
        <v>70</v>
      </c>
      <c r="C230" s="3" t="s">
        <v>111</v>
      </c>
      <c r="D230" s="26">
        <v>2140.7</v>
      </c>
      <c r="E230" s="19">
        <f t="shared" si="58"/>
        <v>9247.823999999999</v>
      </c>
      <c r="F230" s="19">
        <f t="shared" si="59"/>
        <v>30569.195999999996</v>
      </c>
      <c r="G230" s="19">
        <f t="shared" si="60"/>
        <v>30312.311999999998</v>
      </c>
      <c r="H230" s="19">
        <f t="shared" si="61"/>
        <v>6678.984</v>
      </c>
      <c r="I230" s="19">
        <f t="shared" si="62"/>
        <v>1541.3039999999996</v>
      </c>
      <c r="J230" s="19">
        <f t="shared" si="63"/>
        <v>4623.911999999999</v>
      </c>
      <c r="K230" s="19">
        <f>72*6</f>
        <v>432</v>
      </c>
      <c r="L230" s="8">
        <f>144.73*42</f>
        <v>6078.66</v>
      </c>
      <c r="M230" s="8">
        <f>1*142.42*1.5</f>
        <v>213.63</v>
      </c>
      <c r="N230" s="8"/>
      <c r="O230" s="24">
        <f t="shared" si="53"/>
        <v>5886.925</v>
      </c>
      <c r="P230" s="32">
        <f t="shared" si="64"/>
        <v>95584.747</v>
      </c>
      <c r="Q230" s="32">
        <f t="shared" si="68"/>
        <v>33673.210999999996</v>
      </c>
      <c r="R230" s="34">
        <f t="shared" si="54"/>
        <v>78991.82999999999</v>
      </c>
      <c r="S230" s="19"/>
      <c r="T230" s="19">
        <f>90*135</f>
        <v>12150</v>
      </c>
      <c r="U230" s="19"/>
      <c r="V230" s="19"/>
      <c r="W230" s="19"/>
      <c r="X230" s="19"/>
      <c r="Y230" s="32">
        <f t="shared" si="65"/>
        <v>12150</v>
      </c>
      <c r="Z230" s="32">
        <f t="shared" si="55"/>
        <v>33138.03599999999</v>
      </c>
      <c r="AA230" s="32"/>
      <c r="AB230" s="32">
        <f t="shared" si="67"/>
        <v>12587.315999999999</v>
      </c>
      <c r="AC230" s="34">
        <f t="shared" si="56"/>
        <v>5996.36</v>
      </c>
      <c r="AD230" s="8">
        <v>30104.09</v>
      </c>
      <c r="AE230" s="8">
        <v>1737.94</v>
      </c>
      <c r="AF230" s="34">
        <f>SUM(AD230:AE230)</f>
        <v>31842.03</v>
      </c>
      <c r="AG230" s="32">
        <f t="shared" si="57"/>
        <v>30312.311999999998</v>
      </c>
      <c r="AH230" s="32"/>
      <c r="AI230" s="32">
        <f t="shared" si="66"/>
        <v>334275.842</v>
      </c>
    </row>
    <row r="231" spans="1:35" ht="15.75">
      <c r="A231" s="3" t="s">
        <v>138</v>
      </c>
      <c r="B231" s="4" t="s">
        <v>35</v>
      </c>
      <c r="C231" s="3" t="s">
        <v>2</v>
      </c>
      <c r="D231" s="26">
        <v>9761.7</v>
      </c>
      <c r="E231" s="19">
        <f t="shared" si="58"/>
        <v>42170.544</v>
      </c>
      <c r="F231" s="19">
        <f t="shared" si="59"/>
        <v>139397.076</v>
      </c>
      <c r="G231" s="19">
        <f t="shared" si="60"/>
        <v>138225.67200000002</v>
      </c>
      <c r="H231" s="19">
        <f t="shared" si="61"/>
        <v>30456.504000000004</v>
      </c>
      <c r="I231" s="19">
        <f t="shared" si="62"/>
        <v>7028.424</v>
      </c>
      <c r="J231" s="19">
        <f t="shared" si="63"/>
        <v>21085.272</v>
      </c>
      <c r="K231" s="19">
        <f>152*6*2</f>
        <v>1824</v>
      </c>
      <c r="L231" s="8">
        <f>144.73*2</f>
        <v>289.46</v>
      </c>
      <c r="M231" s="8">
        <f>5*142.42*1.5</f>
        <v>1068.1499999999999</v>
      </c>
      <c r="N231" s="8"/>
      <c r="O231" s="24">
        <f t="shared" si="53"/>
        <v>26844.675000000003</v>
      </c>
      <c r="P231" s="32">
        <f t="shared" si="64"/>
        <v>408389.77700000006</v>
      </c>
      <c r="Q231" s="32">
        <f t="shared" si="68"/>
        <v>153551.54100000003</v>
      </c>
      <c r="R231" s="34">
        <f t="shared" si="54"/>
        <v>360206.73000000004</v>
      </c>
      <c r="S231" s="19">
        <f>180*120</f>
        <v>21600</v>
      </c>
      <c r="T231" s="19"/>
      <c r="U231" s="19"/>
      <c r="V231" s="19"/>
      <c r="W231" s="19"/>
      <c r="X231" s="19">
        <v>65000</v>
      </c>
      <c r="Y231" s="32">
        <f t="shared" si="65"/>
        <v>86600</v>
      </c>
      <c r="Z231" s="32">
        <f t="shared" si="55"/>
        <v>151111.116</v>
      </c>
      <c r="AA231" s="32"/>
      <c r="AB231" s="32">
        <f t="shared" si="67"/>
        <v>57398.796</v>
      </c>
      <c r="AC231" s="34">
        <f t="shared" si="56"/>
        <v>27335.160000000003</v>
      </c>
      <c r="AD231" s="8">
        <v>150520.45</v>
      </c>
      <c r="AE231" s="8">
        <v>8689.7</v>
      </c>
      <c r="AF231" s="34">
        <f>SUM(AD231:AE231)</f>
        <v>159210.15000000002</v>
      </c>
      <c r="AG231" s="32">
        <f t="shared" si="57"/>
        <v>138225.67200000002</v>
      </c>
      <c r="AH231" s="32"/>
      <c r="AI231" s="32">
        <f t="shared" si="66"/>
        <v>1542028.942</v>
      </c>
    </row>
    <row r="232" spans="1:35" ht="15.75">
      <c r="A232" s="3" t="s">
        <v>138</v>
      </c>
      <c r="B232" s="4" t="s">
        <v>72</v>
      </c>
      <c r="C232" s="3" t="s">
        <v>66</v>
      </c>
      <c r="D232" s="26">
        <v>2978.7</v>
      </c>
      <c r="E232" s="19">
        <f t="shared" si="58"/>
        <v>12867.983999999999</v>
      </c>
      <c r="F232" s="19">
        <f t="shared" si="59"/>
        <v>42535.835999999996</v>
      </c>
      <c r="G232" s="19">
        <f t="shared" si="60"/>
        <v>42178.39199999999</v>
      </c>
      <c r="H232" s="19">
        <f t="shared" si="61"/>
        <v>9293.544</v>
      </c>
      <c r="I232" s="19">
        <f t="shared" si="62"/>
        <v>2144.6639999999998</v>
      </c>
      <c r="J232" s="19">
        <f t="shared" si="63"/>
        <v>6433.991999999999</v>
      </c>
      <c r="K232" s="19">
        <f>48*8*4+48*6*2</f>
        <v>2112</v>
      </c>
      <c r="L232" s="8">
        <f>144.73*3</f>
        <v>434.18999999999994</v>
      </c>
      <c r="M232" s="8"/>
      <c r="N232" s="8"/>
      <c r="O232" s="24">
        <f t="shared" si="53"/>
        <v>8191.425</v>
      </c>
      <c r="P232" s="32">
        <f t="shared" si="64"/>
        <v>126192.02699999999</v>
      </c>
      <c r="Q232" s="32">
        <f t="shared" si="68"/>
        <v>46854.951</v>
      </c>
      <c r="R232" s="34">
        <f t="shared" si="54"/>
        <v>109914.03</v>
      </c>
      <c r="S232" s="19"/>
      <c r="T232" s="19"/>
      <c r="U232" s="19"/>
      <c r="V232" s="19"/>
      <c r="W232" s="19"/>
      <c r="X232" s="19"/>
      <c r="Y232" s="32">
        <f t="shared" si="65"/>
        <v>0</v>
      </c>
      <c r="Z232" s="32">
        <f t="shared" si="55"/>
        <v>46110.276</v>
      </c>
      <c r="AA232" s="32"/>
      <c r="AB232" s="32">
        <f t="shared" si="67"/>
        <v>17514.755999999998</v>
      </c>
      <c r="AC232" s="34">
        <f t="shared" si="56"/>
        <v>8342.76</v>
      </c>
      <c r="AD232" s="8">
        <v>58341.75</v>
      </c>
      <c r="AE232" s="8">
        <v>3475.88</v>
      </c>
      <c r="AF232" s="34">
        <f>SUM(AD232:AE232)</f>
        <v>61817.63</v>
      </c>
      <c r="AG232" s="32">
        <f t="shared" si="57"/>
        <v>42178.39199999999</v>
      </c>
      <c r="AH232" s="32"/>
      <c r="AI232" s="32">
        <f t="shared" si="66"/>
        <v>458924.82200000004</v>
      </c>
    </row>
    <row r="233" spans="1:35" ht="15.75">
      <c r="A233" s="3" t="s">
        <v>138</v>
      </c>
      <c r="B233" s="4" t="s">
        <v>72</v>
      </c>
      <c r="C233" s="3" t="s">
        <v>111</v>
      </c>
      <c r="D233" s="26">
        <v>4452.4</v>
      </c>
      <c r="E233" s="19">
        <f t="shared" si="58"/>
        <v>19234.368</v>
      </c>
      <c r="F233" s="19">
        <f t="shared" si="59"/>
        <v>63580.272</v>
      </c>
      <c r="G233" s="19">
        <f t="shared" si="60"/>
        <v>63045.984</v>
      </c>
      <c r="H233" s="19">
        <f t="shared" si="61"/>
        <v>13891.488000000001</v>
      </c>
      <c r="I233" s="19">
        <f t="shared" si="62"/>
        <v>3205.727999999999</v>
      </c>
      <c r="J233" s="19">
        <f t="shared" si="63"/>
        <v>9617.184</v>
      </c>
      <c r="K233" s="19">
        <f>90*8+90*6*0</f>
        <v>720</v>
      </c>
      <c r="L233" s="8">
        <f>144.73*3</f>
        <v>434.18999999999994</v>
      </c>
      <c r="M233" s="8"/>
      <c r="N233" s="8"/>
      <c r="O233" s="24">
        <f t="shared" si="53"/>
        <v>12244.1</v>
      </c>
      <c r="P233" s="32">
        <f t="shared" si="64"/>
        <v>185973.31400000004</v>
      </c>
      <c r="Q233" s="32">
        <f t="shared" si="68"/>
        <v>70036.252</v>
      </c>
      <c r="R233" s="34">
        <f t="shared" si="54"/>
        <v>164293.56</v>
      </c>
      <c r="S233" s="19">
        <f>90*120</f>
        <v>10800</v>
      </c>
      <c r="T233" s="19">
        <f>200*135</f>
        <v>27000</v>
      </c>
      <c r="U233" s="19"/>
      <c r="V233" s="19"/>
      <c r="W233" s="19">
        <f>2.2*220</f>
        <v>484.00000000000006</v>
      </c>
      <c r="X233" s="19"/>
      <c r="Y233" s="32">
        <f t="shared" si="65"/>
        <v>38284</v>
      </c>
      <c r="Z233" s="32">
        <f t="shared" si="55"/>
        <v>68923.152</v>
      </c>
      <c r="AA233" s="32"/>
      <c r="AB233" s="32">
        <f t="shared" si="67"/>
        <v>26180.112</v>
      </c>
      <c r="AC233" s="34">
        <f t="shared" si="56"/>
        <v>12469.12</v>
      </c>
      <c r="AD233" s="8"/>
      <c r="AE233" s="8"/>
      <c r="AF233" s="34"/>
      <c r="AG233" s="32">
        <f t="shared" si="57"/>
        <v>63045.984</v>
      </c>
      <c r="AH233" s="32"/>
      <c r="AI233" s="32">
        <f t="shared" si="66"/>
        <v>629205.494</v>
      </c>
    </row>
    <row r="234" spans="1:35" ht="15.75">
      <c r="A234" s="3" t="s">
        <v>138</v>
      </c>
      <c r="B234" s="4" t="s">
        <v>72</v>
      </c>
      <c r="C234" s="3" t="s">
        <v>114</v>
      </c>
      <c r="D234" s="26">
        <v>4396.9</v>
      </c>
      <c r="E234" s="19">
        <f t="shared" si="58"/>
        <v>18994.607999999997</v>
      </c>
      <c r="F234" s="19">
        <f t="shared" si="59"/>
        <v>62787.731999999996</v>
      </c>
      <c r="G234" s="19">
        <f t="shared" si="60"/>
        <v>62260.10399999999</v>
      </c>
      <c r="H234" s="19">
        <f t="shared" si="61"/>
        <v>13718.328</v>
      </c>
      <c r="I234" s="19">
        <f t="shared" si="62"/>
        <v>3165.7679999999996</v>
      </c>
      <c r="J234" s="19">
        <f t="shared" si="63"/>
        <v>9497.303999999998</v>
      </c>
      <c r="K234" s="19">
        <f>90*8+90*6*2</f>
        <v>1800</v>
      </c>
      <c r="L234" s="8">
        <f>144.73*3</f>
        <v>434.18999999999994</v>
      </c>
      <c r="M234" s="8"/>
      <c r="N234" s="8"/>
      <c r="O234" s="24">
        <f t="shared" si="53"/>
        <v>12091.475</v>
      </c>
      <c r="P234" s="32">
        <f t="shared" si="64"/>
        <v>184749.50900000002</v>
      </c>
      <c r="Q234" s="32">
        <f t="shared" si="68"/>
        <v>69163.237</v>
      </c>
      <c r="R234" s="34">
        <f t="shared" si="54"/>
        <v>162245.61</v>
      </c>
      <c r="S234" s="19"/>
      <c r="T234" s="19"/>
      <c r="U234" s="19"/>
      <c r="V234" s="19"/>
      <c r="W234" s="19"/>
      <c r="X234" s="19"/>
      <c r="Y234" s="32">
        <f t="shared" si="65"/>
        <v>0</v>
      </c>
      <c r="Z234" s="32">
        <f t="shared" si="55"/>
        <v>68064.01199999999</v>
      </c>
      <c r="AA234" s="32"/>
      <c r="AB234" s="32">
        <f t="shared" si="67"/>
        <v>25853.771999999997</v>
      </c>
      <c r="AC234" s="34">
        <f t="shared" si="56"/>
        <v>12313.72</v>
      </c>
      <c r="AD234" s="8"/>
      <c r="AE234" s="8"/>
      <c r="AF234" s="34"/>
      <c r="AG234" s="32">
        <f t="shared" si="57"/>
        <v>62260.10399999999</v>
      </c>
      <c r="AH234" s="32">
        <v>57500</v>
      </c>
      <c r="AI234" s="32">
        <f t="shared" si="66"/>
        <v>642149.9639999999</v>
      </c>
    </row>
    <row r="235" spans="1:35" ht="15.75">
      <c r="A235" s="3" t="s">
        <v>138</v>
      </c>
      <c r="B235" s="4" t="s">
        <v>3</v>
      </c>
      <c r="C235" s="3" t="s">
        <v>66</v>
      </c>
      <c r="D235" s="26">
        <v>6373.9</v>
      </c>
      <c r="E235" s="19">
        <f t="shared" si="58"/>
        <v>27535.248</v>
      </c>
      <c r="F235" s="19">
        <f t="shared" si="59"/>
        <v>91019.29199999999</v>
      </c>
      <c r="G235" s="19">
        <f t="shared" si="60"/>
        <v>90254.424</v>
      </c>
      <c r="H235" s="19">
        <f t="shared" si="61"/>
        <v>19886.568</v>
      </c>
      <c r="I235" s="19">
        <f t="shared" si="62"/>
        <v>4589.208</v>
      </c>
      <c r="J235" s="19">
        <f t="shared" si="63"/>
        <v>13767.624</v>
      </c>
      <c r="K235" s="19">
        <f>129*8+129*6*2</f>
        <v>2580</v>
      </c>
      <c r="L235" s="8">
        <f>144.73*3</f>
        <v>434.18999999999994</v>
      </c>
      <c r="M235" s="8"/>
      <c r="N235" s="8"/>
      <c r="O235" s="24">
        <f t="shared" si="53"/>
        <v>17528.225</v>
      </c>
      <c r="P235" s="32">
        <f t="shared" si="64"/>
        <v>267594.779</v>
      </c>
      <c r="Q235" s="32">
        <f t="shared" si="68"/>
        <v>100261.447</v>
      </c>
      <c r="R235" s="34">
        <f t="shared" si="54"/>
        <v>235196.90999999997</v>
      </c>
      <c r="S235" s="19"/>
      <c r="T235" s="19"/>
      <c r="U235" s="19"/>
      <c r="V235" s="19"/>
      <c r="W235" s="19"/>
      <c r="X235" s="19"/>
      <c r="Y235" s="32">
        <f t="shared" si="65"/>
        <v>0</v>
      </c>
      <c r="Z235" s="32">
        <f t="shared" si="55"/>
        <v>98667.97200000001</v>
      </c>
      <c r="AA235" s="32"/>
      <c r="AB235" s="32">
        <f t="shared" si="67"/>
        <v>37478.532</v>
      </c>
      <c r="AC235" s="34">
        <f t="shared" si="56"/>
        <v>17849.32</v>
      </c>
      <c r="AD235" s="8"/>
      <c r="AE235" s="8"/>
      <c r="AF235" s="34"/>
      <c r="AG235" s="32">
        <f t="shared" si="57"/>
        <v>90254.424</v>
      </c>
      <c r="AH235" s="32">
        <v>57500</v>
      </c>
      <c r="AI235" s="32">
        <f t="shared" si="66"/>
        <v>904803.384</v>
      </c>
    </row>
    <row r="236" spans="1:35" ht="15.75">
      <c r="A236" s="3" t="s">
        <v>138</v>
      </c>
      <c r="B236" s="4" t="s">
        <v>3</v>
      </c>
      <c r="C236" s="3" t="s">
        <v>111</v>
      </c>
      <c r="D236" s="26">
        <v>2661.5</v>
      </c>
      <c r="E236" s="19">
        <f t="shared" si="58"/>
        <v>11497.68</v>
      </c>
      <c r="F236" s="19">
        <f t="shared" si="59"/>
        <v>38006.22</v>
      </c>
      <c r="G236" s="19">
        <f t="shared" si="60"/>
        <v>37686.84</v>
      </c>
      <c r="H236" s="19">
        <f t="shared" si="61"/>
        <v>8303.880000000001</v>
      </c>
      <c r="I236" s="19">
        <f t="shared" si="62"/>
        <v>1916.28</v>
      </c>
      <c r="J236" s="19">
        <f t="shared" si="63"/>
        <v>5748.84</v>
      </c>
      <c r="K236" s="19">
        <f>60*8+60*6*2</f>
        <v>1200</v>
      </c>
      <c r="L236" s="8">
        <f>144.73*2</f>
        <v>289.46</v>
      </c>
      <c r="M236" s="8"/>
      <c r="N236" s="8"/>
      <c r="O236" s="24">
        <f t="shared" si="53"/>
        <v>7319.125</v>
      </c>
      <c r="P236" s="32">
        <f t="shared" si="64"/>
        <v>111968.325</v>
      </c>
      <c r="Q236" s="32">
        <f t="shared" si="68"/>
        <v>41865.395000000004</v>
      </c>
      <c r="R236" s="34">
        <f t="shared" si="54"/>
        <v>98209.35</v>
      </c>
      <c r="S236" s="19">
        <f>40*120</f>
        <v>4800</v>
      </c>
      <c r="T236" s="19"/>
      <c r="U236" s="19"/>
      <c r="V236" s="19"/>
      <c r="W236" s="19"/>
      <c r="X236" s="19"/>
      <c r="Y236" s="32">
        <f t="shared" si="65"/>
        <v>4800</v>
      </c>
      <c r="Z236" s="32">
        <f t="shared" si="55"/>
        <v>41200.020000000004</v>
      </c>
      <c r="AA236" s="32"/>
      <c r="AB236" s="32">
        <f t="shared" si="67"/>
        <v>15649.619999999999</v>
      </c>
      <c r="AC236" s="34">
        <f t="shared" si="56"/>
        <v>7454.6</v>
      </c>
      <c r="AD236" s="8"/>
      <c r="AE236" s="8"/>
      <c r="AF236" s="34"/>
      <c r="AG236" s="32">
        <f t="shared" si="57"/>
        <v>37686.84</v>
      </c>
      <c r="AH236" s="32">
        <v>57500</v>
      </c>
      <c r="AI236" s="32">
        <f t="shared" si="66"/>
        <v>416334.15</v>
      </c>
    </row>
    <row r="237" spans="1:35" ht="15.75">
      <c r="A237" s="3" t="s">
        <v>138</v>
      </c>
      <c r="B237" s="4" t="s">
        <v>3</v>
      </c>
      <c r="C237" s="3" t="s">
        <v>139</v>
      </c>
      <c r="D237" s="26">
        <v>4534.7</v>
      </c>
      <c r="E237" s="19">
        <f t="shared" si="58"/>
        <v>19589.904</v>
      </c>
      <c r="F237" s="19">
        <f t="shared" si="59"/>
        <v>64755.515999999996</v>
      </c>
      <c r="G237" s="19">
        <f t="shared" si="60"/>
        <v>64211.352</v>
      </c>
      <c r="H237" s="19">
        <f t="shared" si="61"/>
        <v>14148.264</v>
      </c>
      <c r="I237" s="19">
        <f t="shared" si="62"/>
        <v>3264.984</v>
      </c>
      <c r="J237" s="19">
        <f t="shared" si="63"/>
        <v>9794.952</v>
      </c>
      <c r="K237" s="19">
        <f>90*8+90*6*2</f>
        <v>1800</v>
      </c>
      <c r="L237" s="8">
        <f>144.73*3</f>
        <v>434.18999999999994</v>
      </c>
      <c r="M237" s="8"/>
      <c r="N237" s="8"/>
      <c r="O237" s="24">
        <f t="shared" si="53"/>
        <v>12470.425</v>
      </c>
      <c r="P237" s="32">
        <f t="shared" si="64"/>
        <v>190469.58699999997</v>
      </c>
      <c r="Q237" s="32">
        <f t="shared" si="68"/>
        <v>71330.831</v>
      </c>
      <c r="R237" s="34">
        <f t="shared" si="54"/>
        <v>167330.43</v>
      </c>
      <c r="S237" s="19">
        <f>120*120</f>
        <v>14400</v>
      </c>
      <c r="T237" s="19">
        <f>50*135</f>
        <v>6750</v>
      </c>
      <c r="U237" s="19"/>
      <c r="V237" s="19"/>
      <c r="W237" s="19"/>
      <c r="X237" s="19"/>
      <c r="Y237" s="32">
        <f t="shared" si="65"/>
        <v>21150</v>
      </c>
      <c r="Z237" s="32">
        <f t="shared" si="55"/>
        <v>70197.156</v>
      </c>
      <c r="AA237" s="32"/>
      <c r="AB237" s="32">
        <f t="shared" si="67"/>
        <v>26664.035999999996</v>
      </c>
      <c r="AC237" s="34">
        <f t="shared" si="56"/>
        <v>12699.56</v>
      </c>
      <c r="AD237" s="8"/>
      <c r="AE237" s="8"/>
      <c r="AF237" s="34"/>
      <c r="AG237" s="32">
        <f t="shared" si="57"/>
        <v>64211.352</v>
      </c>
      <c r="AH237" s="32">
        <v>57500</v>
      </c>
      <c r="AI237" s="32">
        <f t="shared" si="66"/>
        <v>681552.952</v>
      </c>
    </row>
    <row r="238" spans="1:35" ht="15.75">
      <c r="A238" s="3" t="s">
        <v>140</v>
      </c>
      <c r="B238" s="4" t="s">
        <v>40</v>
      </c>
      <c r="C238" s="3" t="s">
        <v>2</v>
      </c>
      <c r="D238" s="26">
        <v>50.2</v>
      </c>
      <c r="E238" s="19">
        <f t="shared" si="58"/>
        <v>216.86399999999998</v>
      </c>
      <c r="F238" s="19">
        <f t="shared" si="59"/>
        <v>716.856</v>
      </c>
      <c r="G238" s="19">
        <f t="shared" si="60"/>
        <v>710.832</v>
      </c>
      <c r="H238" s="19">
        <f t="shared" si="61"/>
        <v>156.62400000000002</v>
      </c>
      <c r="I238" s="19">
        <f t="shared" si="62"/>
        <v>36.144</v>
      </c>
      <c r="J238" s="19">
        <f t="shared" si="63"/>
        <v>108.43199999999999</v>
      </c>
      <c r="K238" s="19">
        <f>2*230</f>
        <v>460</v>
      </c>
      <c r="L238" s="8"/>
      <c r="M238" s="8"/>
      <c r="N238" s="8"/>
      <c r="O238" s="24">
        <f t="shared" si="53"/>
        <v>138.05</v>
      </c>
      <c r="P238" s="32">
        <f t="shared" si="64"/>
        <v>2543.8020000000006</v>
      </c>
      <c r="Q238" s="32">
        <f t="shared" si="68"/>
        <v>789.6460000000002</v>
      </c>
      <c r="R238" s="34">
        <f t="shared" si="54"/>
        <v>1852.3800000000003</v>
      </c>
      <c r="S238" s="19"/>
      <c r="T238" s="19"/>
      <c r="U238" s="19"/>
      <c r="V238" s="19"/>
      <c r="W238" s="19"/>
      <c r="X238" s="19"/>
      <c r="Y238" s="32">
        <f t="shared" si="65"/>
        <v>0</v>
      </c>
      <c r="Z238" s="32">
        <f t="shared" si="55"/>
        <v>777.0960000000001</v>
      </c>
      <c r="AA238" s="32"/>
      <c r="AB238" s="32">
        <f t="shared" si="67"/>
        <v>295.17600000000004</v>
      </c>
      <c r="AC238" s="34">
        <f t="shared" si="56"/>
        <v>142.96</v>
      </c>
      <c r="AD238" s="8"/>
      <c r="AE238" s="8"/>
      <c r="AF238" s="34"/>
      <c r="AG238" s="32">
        <f t="shared" si="57"/>
        <v>710.832</v>
      </c>
      <c r="AH238" s="32"/>
      <c r="AI238" s="32">
        <f t="shared" si="66"/>
        <v>7111.892000000003</v>
      </c>
    </row>
    <row r="239" spans="1:35" ht="15.75">
      <c r="A239" s="3" t="s">
        <v>141</v>
      </c>
      <c r="B239" s="4" t="s">
        <v>1</v>
      </c>
      <c r="C239" s="3" t="s">
        <v>2</v>
      </c>
      <c r="D239" s="26">
        <v>3472.4</v>
      </c>
      <c r="E239" s="19">
        <f t="shared" si="58"/>
        <v>15000.768</v>
      </c>
      <c r="F239" s="19">
        <f t="shared" si="59"/>
        <v>49585.872</v>
      </c>
      <c r="G239" s="19">
        <f t="shared" si="60"/>
        <v>49169.183999999994</v>
      </c>
      <c r="H239" s="19">
        <f t="shared" si="61"/>
        <v>10833.888</v>
      </c>
      <c r="I239" s="19">
        <f t="shared" si="62"/>
        <v>2500.1279999999997</v>
      </c>
      <c r="J239" s="19">
        <f t="shared" si="63"/>
        <v>7500.384</v>
      </c>
      <c r="K239" s="19">
        <f>76*2*6</f>
        <v>912</v>
      </c>
      <c r="L239" s="8">
        <f>144.73*88</f>
        <v>12736.24</v>
      </c>
      <c r="M239" s="8"/>
      <c r="N239" s="8"/>
      <c r="O239" s="24">
        <f t="shared" si="53"/>
        <v>9549.1</v>
      </c>
      <c r="P239" s="32">
        <f t="shared" si="64"/>
        <v>157787.56399999998</v>
      </c>
      <c r="Q239" s="32">
        <f t="shared" si="68"/>
        <v>54620.852000000006</v>
      </c>
      <c r="R239" s="34">
        <f t="shared" si="54"/>
        <v>128131.56000000001</v>
      </c>
      <c r="S239" s="19"/>
      <c r="T239" s="19"/>
      <c r="U239" s="19"/>
      <c r="V239" s="19"/>
      <c r="W239" s="19"/>
      <c r="X239" s="19">
        <v>69000</v>
      </c>
      <c r="Y239" s="32">
        <f t="shared" si="65"/>
        <v>69000</v>
      </c>
      <c r="Z239" s="32">
        <f t="shared" si="55"/>
        <v>53752.75200000001</v>
      </c>
      <c r="AA239" s="32"/>
      <c r="AB239" s="32">
        <f t="shared" si="67"/>
        <v>20417.712</v>
      </c>
      <c r="AC239" s="34">
        <f t="shared" si="56"/>
        <v>9725.12</v>
      </c>
      <c r="AD239" s="8"/>
      <c r="AE239" s="8"/>
      <c r="AF239" s="34"/>
      <c r="AG239" s="32">
        <f t="shared" si="57"/>
        <v>49169.183999999994</v>
      </c>
      <c r="AH239" s="32"/>
      <c r="AI239" s="32">
        <f t="shared" si="66"/>
        <v>542604.744</v>
      </c>
    </row>
    <row r="240" spans="1:35" ht="15.75">
      <c r="A240" s="3" t="s">
        <v>141</v>
      </c>
      <c r="B240" s="4" t="s">
        <v>69</v>
      </c>
      <c r="C240" s="3" t="s">
        <v>2</v>
      </c>
      <c r="D240" s="26">
        <v>2693.4</v>
      </c>
      <c r="E240" s="19">
        <f t="shared" si="58"/>
        <v>11635.488000000001</v>
      </c>
      <c r="F240" s="19">
        <f t="shared" si="59"/>
        <v>38461.752</v>
      </c>
      <c r="G240" s="19">
        <f t="shared" si="60"/>
        <v>38138.544</v>
      </c>
      <c r="H240" s="19">
        <f t="shared" si="61"/>
        <v>8403.408</v>
      </c>
      <c r="I240" s="19">
        <f t="shared" si="62"/>
        <v>1939.248</v>
      </c>
      <c r="J240" s="19">
        <f t="shared" si="63"/>
        <v>5817.744000000001</v>
      </c>
      <c r="K240" s="19">
        <f>60*8+60*6*2</f>
        <v>1200</v>
      </c>
      <c r="L240" s="8">
        <f>144.73*3</f>
        <v>434.18999999999994</v>
      </c>
      <c r="M240" s="8"/>
      <c r="N240" s="8"/>
      <c r="O240" s="24">
        <f t="shared" si="53"/>
        <v>7406.85</v>
      </c>
      <c r="P240" s="32">
        <f t="shared" si="64"/>
        <v>113437.22400000003</v>
      </c>
      <c r="Q240" s="32">
        <f t="shared" si="68"/>
        <v>42367.182</v>
      </c>
      <c r="R240" s="34">
        <f t="shared" si="54"/>
        <v>99386.46000000002</v>
      </c>
      <c r="S240" s="19"/>
      <c r="T240" s="19"/>
      <c r="U240" s="19"/>
      <c r="V240" s="19"/>
      <c r="W240" s="19"/>
      <c r="X240" s="19"/>
      <c r="Y240" s="32">
        <f t="shared" si="65"/>
        <v>0</v>
      </c>
      <c r="Z240" s="32">
        <f t="shared" si="55"/>
        <v>41693.832</v>
      </c>
      <c r="AA240" s="32"/>
      <c r="AB240" s="32">
        <f t="shared" si="67"/>
        <v>15837.192000000001</v>
      </c>
      <c r="AC240" s="34">
        <f t="shared" si="56"/>
        <v>7543.92</v>
      </c>
      <c r="AD240" s="8"/>
      <c r="AE240" s="8"/>
      <c r="AF240" s="34"/>
      <c r="AG240" s="32">
        <f t="shared" si="57"/>
        <v>38138.544</v>
      </c>
      <c r="AH240" s="32"/>
      <c r="AI240" s="32">
        <f t="shared" si="66"/>
        <v>358404.354</v>
      </c>
    </row>
    <row r="241" spans="1:35" ht="15.75">
      <c r="A241" s="3" t="s">
        <v>141</v>
      </c>
      <c r="B241" s="4" t="s">
        <v>70</v>
      </c>
      <c r="C241" s="3" t="s">
        <v>2</v>
      </c>
      <c r="D241" s="26">
        <v>1342.5</v>
      </c>
      <c r="E241" s="19">
        <f t="shared" si="58"/>
        <v>5799.599999999999</v>
      </c>
      <c r="F241" s="19">
        <f t="shared" si="59"/>
        <v>19170.899999999998</v>
      </c>
      <c r="G241" s="19">
        <f t="shared" si="60"/>
        <v>19009.8</v>
      </c>
      <c r="H241" s="19">
        <f t="shared" si="61"/>
        <v>4188.6</v>
      </c>
      <c r="I241" s="19">
        <f t="shared" si="62"/>
        <v>966.5999999999999</v>
      </c>
      <c r="J241" s="19">
        <f t="shared" si="63"/>
        <v>2899.7999999999997</v>
      </c>
      <c r="K241" s="19">
        <f>25*6*2</f>
        <v>300</v>
      </c>
      <c r="L241" s="8">
        <f>144.73*31</f>
        <v>4486.63</v>
      </c>
      <c r="M241" s="8"/>
      <c r="N241" s="8"/>
      <c r="O241" s="24">
        <f t="shared" si="53"/>
        <v>3691.8750000000005</v>
      </c>
      <c r="P241" s="32">
        <f t="shared" si="64"/>
        <v>60513.80499999999</v>
      </c>
      <c r="Q241" s="32">
        <f t="shared" si="68"/>
        <v>21117.525</v>
      </c>
      <c r="R241" s="34">
        <f t="shared" si="54"/>
        <v>49538.25</v>
      </c>
      <c r="S241" s="19"/>
      <c r="T241" s="19"/>
      <c r="U241" s="19"/>
      <c r="V241" s="19"/>
      <c r="W241" s="19"/>
      <c r="X241" s="19"/>
      <c r="Y241" s="32">
        <f t="shared" si="65"/>
        <v>0</v>
      </c>
      <c r="Z241" s="32">
        <f t="shared" si="55"/>
        <v>20781.9</v>
      </c>
      <c r="AA241" s="32"/>
      <c r="AB241" s="32">
        <f t="shared" si="67"/>
        <v>7893.9</v>
      </c>
      <c r="AC241" s="34">
        <f t="shared" si="56"/>
        <v>3761.4</v>
      </c>
      <c r="AD241" s="8"/>
      <c r="AE241" s="8"/>
      <c r="AF241" s="34"/>
      <c r="AG241" s="32">
        <f t="shared" si="57"/>
        <v>19009.8</v>
      </c>
      <c r="AH241" s="32"/>
      <c r="AI241" s="32">
        <f t="shared" si="66"/>
        <v>182616.57999999996</v>
      </c>
    </row>
    <row r="242" spans="1:35" ht="15.75">
      <c r="A242" s="3" t="s">
        <v>141</v>
      </c>
      <c r="B242" s="4" t="s">
        <v>32</v>
      </c>
      <c r="C242" s="3" t="s">
        <v>2</v>
      </c>
      <c r="D242" s="26">
        <v>740.6</v>
      </c>
      <c r="E242" s="19">
        <f t="shared" si="58"/>
        <v>3199.392</v>
      </c>
      <c r="F242" s="19">
        <f t="shared" si="59"/>
        <v>10575.768</v>
      </c>
      <c r="G242" s="19">
        <f t="shared" si="60"/>
        <v>10486.896</v>
      </c>
      <c r="H242" s="19">
        <f t="shared" si="61"/>
        <v>2310.672</v>
      </c>
      <c r="I242" s="19">
        <f t="shared" si="62"/>
        <v>533.232</v>
      </c>
      <c r="J242" s="19">
        <f t="shared" si="63"/>
        <v>1599.696</v>
      </c>
      <c r="K242" s="19">
        <f>10*4*8+10*6*2</f>
        <v>440</v>
      </c>
      <c r="L242" s="8"/>
      <c r="M242" s="8"/>
      <c r="N242" s="8"/>
      <c r="O242" s="24">
        <f t="shared" si="53"/>
        <v>2036.65</v>
      </c>
      <c r="P242" s="32">
        <f t="shared" si="64"/>
        <v>31182.306</v>
      </c>
      <c r="Q242" s="32"/>
      <c r="R242" s="34">
        <f t="shared" si="54"/>
        <v>27328.140000000003</v>
      </c>
      <c r="S242" s="19"/>
      <c r="T242" s="19"/>
      <c r="U242" s="19"/>
      <c r="V242" s="19"/>
      <c r="W242" s="19"/>
      <c r="X242" s="19"/>
      <c r="Y242" s="32">
        <f t="shared" si="65"/>
        <v>0</v>
      </c>
      <c r="Z242" s="32">
        <f t="shared" si="55"/>
        <v>11464.488000000001</v>
      </c>
      <c r="AA242" s="32"/>
      <c r="AB242" s="32">
        <f t="shared" si="67"/>
        <v>4354.728</v>
      </c>
      <c r="AC242" s="34">
        <f t="shared" si="56"/>
        <v>2076.0800000000004</v>
      </c>
      <c r="AD242" s="8"/>
      <c r="AE242" s="8"/>
      <c r="AF242" s="34"/>
      <c r="AG242" s="32">
        <f t="shared" si="57"/>
        <v>10486.896</v>
      </c>
      <c r="AH242" s="32"/>
      <c r="AI242" s="32">
        <f t="shared" si="66"/>
        <v>86892.638</v>
      </c>
    </row>
    <row r="243" spans="1:35" ht="15.75">
      <c r="A243" s="3" t="s">
        <v>141</v>
      </c>
      <c r="B243" s="4" t="s">
        <v>35</v>
      </c>
      <c r="C243" s="3" t="s">
        <v>66</v>
      </c>
      <c r="D243" s="26">
        <v>4718.1</v>
      </c>
      <c r="E243" s="19">
        <f t="shared" si="58"/>
        <v>20382.192000000003</v>
      </c>
      <c r="F243" s="19">
        <f t="shared" si="59"/>
        <v>67374.468</v>
      </c>
      <c r="G243" s="19">
        <f t="shared" si="60"/>
        <v>66808.296</v>
      </c>
      <c r="H243" s="19">
        <f t="shared" si="61"/>
        <v>14720.472000000002</v>
      </c>
      <c r="I243" s="19">
        <f t="shared" si="62"/>
        <v>3397.032</v>
      </c>
      <c r="J243" s="19">
        <f t="shared" si="63"/>
        <v>10191.096000000001</v>
      </c>
      <c r="K243" s="19">
        <f>92*8+92*6*2</f>
        <v>1840</v>
      </c>
      <c r="L243" s="8">
        <f>144.73*2</f>
        <v>289.46</v>
      </c>
      <c r="M243" s="8"/>
      <c r="N243" s="8"/>
      <c r="O243" s="24">
        <f t="shared" si="53"/>
        <v>12974.775000000001</v>
      </c>
      <c r="P243" s="32">
        <f t="shared" si="64"/>
        <v>197977.791</v>
      </c>
      <c r="Q243" s="32">
        <f aca="true" t="shared" si="69" ref="Q243:Q253">D243*1.27*5+D243*1.34*7</f>
        <v>74215.71300000002</v>
      </c>
      <c r="R243" s="34">
        <f t="shared" si="54"/>
        <v>174097.89</v>
      </c>
      <c r="S243" s="19"/>
      <c r="T243" s="19"/>
      <c r="U243" s="19"/>
      <c r="V243" s="19"/>
      <c r="W243" s="19"/>
      <c r="X243" s="19"/>
      <c r="Y243" s="32">
        <f t="shared" si="65"/>
        <v>0</v>
      </c>
      <c r="Z243" s="32">
        <f t="shared" si="55"/>
        <v>73036.18800000001</v>
      </c>
      <c r="AA243" s="32"/>
      <c r="AB243" s="32">
        <f t="shared" si="67"/>
        <v>27742.428</v>
      </c>
      <c r="AC243" s="34">
        <f t="shared" si="56"/>
        <v>13213.080000000002</v>
      </c>
      <c r="AD243" s="8"/>
      <c r="AE243" s="8"/>
      <c r="AF243" s="34"/>
      <c r="AG243" s="32">
        <f t="shared" si="57"/>
        <v>66808.296</v>
      </c>
      <c r="AH243" s="32">
        <v>57500</v>
      </c>
      <c r="AI243" s="32">
        <f t="shared" si="66"/>
        <v>684591.3859999999</v>
      </c>
    </row>
    <row r="244" spans="1:35" ht="15.75">
      <c r="A244" s="3" t="s">
        <v>141</v>
      </c>
      <c r="B244" s="4" t="s">
        <v>80</v>
      </c>
      <c r="C244" s="3" t="s">
        <v>66</v>
      </c>
      <c r="D244" s="26">
        <v>3355.2</v>
      </c>
      <c r="E244" s="19">
        <f t="shared" si="58"/>
        <v>14494.463999999998</v>
      </c>
      <c r="F244" s="19">
        <f t="shared" si="59"/>
        <v>47912.255999999994</v>
      </c>
      <c r="G244" s="19">
        <f t="shared" si="60"/>
        <v>47509.632</v>
      </c>
      <c r="H244" s="19">
        <f t="shared" si="61"/>
        <v>10468.224</v>
      </c>
      <c r="I244" s="19">
        <f t="shared" si="62"/>
        <v>2415.7439999999997</v>
      </c>
      <c r="J244" s="19">
        <f t="shared" si="63"/>
        <v>7247.231999999999</v>
      </c>
      <c r="K244" s="19">
        <f>66*8+66*6*2</f>
        <v>1320</v>
      </c>
      <c r="L244" s="8">
        <f>144.73*3</f>
        <v>434.18999999999994</v>
      </c>
      <c r="M244" s="8"/>
      <c r="N244" s="8"/>
      <c r="O244" s="24">
        <f t="shared" si="53"/>
        <v>9226.800000000001</v>
      </c>
      <c r="P244" s="32">
        <f t="shared" si="64"/>
        <v>141028.542</v>
      </c>
      <c r="Q244" s="32">
        <f t="shared" si="69"/>
        <v>52777.296</v>
      </c>
      <c r="R244" s="34">
        <f t="shared" si="54"/>
        <v>123806.87999999998</v>
      </c>
      <c r="S244" s="19"/>
      <c r="T244" s="19"/>
      <c r="U244" s="19"/>
      <c r="V244" s="19"/>
      <c r="W244" s="19"/>
      <c r="X244" s="19"/>
      <c r="Y244" s="32">
        <f t="shared" si="65"/>
        <v>0</v>
      </c>
      <c r="Z244" s="32">
        <f t="shared" si="55"/>
        <v>51938.496</v>
      </c>
      <c r="AA244" s="32"/>
      <c r="AB244" s="32">
        <f t="shared" si="67"/>
        <v>19728.575999999997</v>
      </c>
      <c r="AC244" s="34">
        <f t="shared" si="56"/>
        <v>9396.96</v>
      </c>
      <c r="AD244" s="8"/>
      <c r="AE244" s="8"/>
      <c r="AF244" s="34"/>
      <c r="AG244" s="32">
        <f t="shared" si="57"/>
        <v>47509.632</v>
      </c>
      <c r="AH244" s="32">
        <v>57500</v>
      </c>
      <c r="AI244" s="32">
        <f t="shared" si="66"/>
        <v>503686.382</v>
      </c>
    </row>
    <row r="245" spans="1:35" ht="15.75">
      <c r="A245" s="3" t="s">
        <v>141</v>
      </c>
      <c r="B245" s="4" t="s">
        <v>80</v>
      </c>
      <c r="C245" s="3" t="s">
        <v>111</v>
      </c>
      <c r="D245" s="26">
        <v>4453.9</v>
      </c>
      <c r="E245" s="19">
        <f t="shared" si="58"/>
        <v>19240.847999999998</v>
      </c>
      <c r="F245" s="19">
        <f t="shared" si="59"/>
        <v>63601.691999999995</v>
      </c>
      <c r="G245" s="19">
        <f t="shared" si="60"/>
        <v>63067.22399999999</v>
      </c>
      <c r="H245" s="19">
        <f t="shared" si="61"/>
        <v>13896.167999999998</v>
      </c>
      <c r="I245" s="19">
        <f t="shared" si="62"/>
        <v>3206.808</v>
      </c>
      <c r="J245" s="19">
        <f t="shared" si="63"/>
        <v>9620.423999999999</v>
      </c>
      <c r="K245" s="19">
        <f>99*6*2</f>
        <v>1188</v>
      </c>
      <c r="L245" s="8">
        <f>144.73*3</f>
        <v>434.18999999999994</v>
      </c>
      <c r="M245" s="8"/>
      <c r="N245" s="8"/>
      <c r="O245" s="24">
        <f t="shared" si="53"/>
        <v>12248.225</v>
      </c>
      <c r="P245" s="32">
        <f t="shared" si="64"/>
        <v>186503.57899999997</v>
      </c>
      <c r="Q245" s="32">
        <f t="shared" si="69"/>
        <v>70059.847</v>
      </c>
      <c r="R245" s="34">
        <f t="shared" si="54"/>
        <v>164348.90999999997</v>
      </c>
      <c r="S245" s="19"/>
      <c r="T245" s="19"/>
      <c r="U245" s="19"/>
      <c r="V245" s="19"/>
      <c r="W245" s="19"/>
      <c r="X245" s="19">
        <v>4000</v>
      </c>
      <c r="Y245" s="32">
        <f t="shared" si="65"/>
        <v>4000</v>
      </c>
      <c r="Z245" s="32">
        <f t="shared" si="55"/>
        <v>68946.372</v>
      </c>
      <c r="AA245" s="32"/>
      <c r="AB245" s="32">
        <f t="shared" si="67"/>
        <v>26188.931999999993</v>
      </c>
      <c r="AC245" s="34">
        <f t="shared" si="56"/>
        <v>12473.32</v>
      </c>
      <c r="AD245" s="8"/>
      <c r="AE245" s="8"/>
      <c r="AF245" s="34"/>
      <c r="AG245" s="32">
        <f t="shared" si="57"/>
        <v>63067.22399999999</v>
      </c>
      <c r="AH245" s="32"/>
      <c r="AI245" s="32">
        <f t="shared" si="66"/>
        <v>595588.1839999999</v>
      </c>
    </row>
    <row r="246" spans="1:35" ht="15.75">
      <c r="A246" s="3" t="s">
        <v>141</v>
      </c>
      <c r="B246" s="4" t="s">
        <v>71</v>
      </c>
      <c r="C246" s="3" t="s">
        <v>2</v>
      </c>
      <c r="D246" s="26">
        <v>4902.7</v>
      </c>
      <c r="E246" s="19">
        <f t="shared" si="58"/>
        <v>21179.664</v>
      </c>
      <c r="F246" s="19">
        <f t="shared" si="59"/>
        <v>70010.556</v>
      </c>
      <c r="G246" s="19">
        <f t="shared" si="60"/>
        <v>69422.23199999999</v>
      </c>
      <c r="H246" s="19">
        <f t="shared" si="61"/>
        <v>15296.423999999999</v>
      </c>
      <c r="I246" s="19">
        <f t="shared" si="62"/>
        <v>3529.9439999999995</v>
      </c>
      <c r="J246" s="19">
        <f t="shared" si="63"/>
        <v>10589.832</v>
      </c>
      <c r="K246" s="19">
        <f>89*6*2</f>
        <v>1068</v>
      </c>
      <c r="L246" s="8">
        <f>144.73*3</f>
        <v>434.18999999999994</v>
      </c>
      <c r="M246" s="8"/>
      <c r="N246" s="8"/>
      <c r="O246" s="24">
        <f t="shared" si="53"/>
        <v>13482.425000000001</v>
      </c>
      <c r="P246" s="32">
        <f t="shared" si="64"/>
        <v>205013.26699999996</v>
      </c>
      <c r="Q246" s="32">
        <f t="shared" si="69"/>
        <v>77119.471</v>
      </c>
      <c r="R246" s="34">
        <f t="shared" si="54"/>
        <v>180909.62999999998</v>
      </c>
      <c r="S246" s="19"/>
      <c r="T246" s="19">
        <f>100*135</f>
        <v>13500</v>
      </c>
      <c r="U246" s="19"/>
      <c r="V246" s="19"/>
      <c r="W246" s="19"/>
      <c r="X246" s="19"/>
      <c r="Y246" s="32">
        <f t="shared" si="65"/>
        <v>13500</v>
      </c>
      <c r="Z246" s="32">
        <f t="shared" si="55"/>
        <v>75893.796</v>
      </c>
      <c r="AA246" s="32"/>
      <c r="AB246" s="32">
        <f t="shared" si="67"/>
        <v>28827.875999999997</v>
      </c>
      <c r="AC246" s="34">
        <f t="shared" si="56"/>
        <v>13729.96</v>
      </c>
      <c r="AD246" s="8"/>
      <c r="AE246" s="8"/>
      <c r="AF246" s="34"/>
      <c r="AG246" s="32">
        <f t="shared" si="57"/>
        <v>69422.23199999999</v>
      </c>
      <c r="AH246" s="32"/>
      <c r="AI246" s="32">
        <f t="shared" si="66"/>
        <v>664416.2319999998</v>
      </c>
    </row>
    <row r="247" spans="1:35" ht="15.75">
      <c r="A247" s="3" t="s">
        <v>141</v>
      </c>
      <c r="B247" s="4" t="s">
        <v>11</v>
      </c>
      <c r="C247" s="3" t="s">
        <v>2</v>
      </c>
      <c r="D247" s="26">
        <v>764.4</v>
      </c>
      <c r="E247" s="19">
        <f t="shared" si="58"/>
        <v>3302.2079999999996</v>
      </c>
      <c r="F247" s="19">
        <f t="shared" si="59"/>
        <v>10915.632</v>
      </c>
      <c r="G247" s="19">
        <f t="shared" si="60"/>
        <v>10823.903999999999</v>
      </c>
      <c r="H247" s="19">
        <f t="shared" si="61"/>
        <v>2384.928</v>
      </c>
      <c r="I247" s="19">
        <f t="shared" si="62"/>
        <v>550.3679999999999</v>
      </c>
      <c r="J247" s="19">
        <f t="shared" si="63"/>
        <v>1651.1039999999998</v>
      </c>
      <c r="K247" s="19">
        <f>18*8*4+18*6*2</f>
        <v>792</v>
      </c>
      <c r="L247" s="8">
        <f>144.73*2</f>
        <v>289.46</v>
      </c>
      <c r="M247" s="8"/>
      <c r="N247" s="8">
        <f>465*20.77</f>
        <v>9658.05</v>
      </c>
      <c r="O247" s="24">
        <f t="shared" si="53"/>
        <v>2102.1</v>
      </c>
      <c r="P247" s="32">
        <f t="shared" si="64"/>
        <v>42469.75399999999</v>
      </c>
      <c r="Q247" s="32">
        <f t="shared" si="69"/>
        <v>12024.012</v>
      </c>
      <c r="R247" s="34">
        <f t="shared" si="54"/>
        <v>28206.359999999997</v>
      </c>
      <c r="S247" s="19"/>
      <c r="T247" s="19"/>
      <c r="U247" s="19"/>
      <c r="V247" s="19"/>
      <c r="W247" s="19"/>
      <c r="X247" s="19">
        <v>68000</v>
      </c>
      <c r="Y247" s="32">
        <f t="shared" si="65"/>
        <v>68000</v>
      </c>
      <c r="Z247" s="32">
        <f t="shared" si="55"/>
        <v>11832.912</v>
      </c>
      <c r="AA247" s="32"/>
      <c r="AB247" s="32">
        <f t="shared" si="67"/>
        <v>4494.672</v>
      </c>
      <c r="AC247" s="34">
        <f t="shared" si="56"/>
        <v>2142.72</v>
      </c>
      <c r="AD247" s="8"/>
      <c r="AE247" s="8"/>
      <c r="AF247" s="34"/>
      <c r="AG247" s="32">
        <f t="shared" si="57"/>
        <v>10823.903999999999</v>
      </c>
      <c r="AH247" s="32"/>
      <c r="AI247" s="32">
        <f t="shared" si="66"/>
        <v>179994.334</v>
      </c>
    </row>
    <row r="248" spans="1:35" ht="15.75">
      <c r="A248" s="3" t="s">
        <v>141</v>
      </c>
      <c r="B248" s="4" t="s">
        <v>65</v>
      </c>
      <c r="C248" s="3" t="s">
        <v>2</v>
      </c>
      <c r="D248" s="26">
        <v>4891.4</v>
      </c>
      <c r="E248" s="19">
        <f t="shared" si="58"/>
        <v>21130.847999999998</v>
      </c>
      <c r="F248" s="19">
        <f t="shared" si="59"/>
        <v>69849.192</v>
      </c>
      <c r="G248" s="19">
        <f t="shared" si="60"/>
        <v>69262.22399999999</v>
      </c>
      <c r="H248" s="19">
        <f t="shared" si="61"/>
        <v>15261.167999999998</v>
      </c>
      <c r="I248" s="19">
        <f t="shared" si="62"/>
        <v>3521.808</v>
      </c>
      <c r="J248" s="19">
        <f t="shared" si="63"/>
        <v>10565.423999999999</v>
      </c>
      <c r="K248" s="19">
        <f>90*8+90*6*2</f>
        <v>1800</v>
      </c>
      <c r="L248" s="8">
        <f>144.73*2</f>
        <v>289.46</v>
      </c>
      <c r="M248" s="8"/>
      <c r="N248" s="8"/>
      <c r="O248" s="24">
        <f t="shared" si="53"/>
        <v>13451.35</v>
      </c>
      <c r="P248" s="32">
        <f t="shared" si="64"/>
        <v>205131.47399999996</v>
      </c>
      <c r="Q248" s="32">
        <f t="shared" si="69"/>
        <v>76941.722</v>
      </c>
      <c r="R248" s="34">
        <f t="shared" si="54"/>
        <v>180492.65999999997</v>
      </c>
      <c r="S248" s="19"/>
      <c r="T248" s="19"/>
      <c r="U248" s="19"/>
      <c r="V248" s="19"/>
      <c r="W248" s="19"/>
      <c r="X248" s="19"/>
      <c r="Y248" s="32">
        <f t="shared" si="65"/>
        <v>0</v>
      </c>
      <c r="Z248" s="32">
        <f t="shared" si="55"/>
        <v>75718.872</v>
      </c>
      <c r="AA248" s="32"/>
      <c r="AB248" s="32">
        <f t="shared" si="67"/>
        <v>28761.431999999993</v>
      </c>
      <c r="AC248" s="34">
        <f t="shared" si="56"/>
        <v>13698.32</v>
      </c>
      <c r="AD248" s="8"/>
      <c r="AE248" s="8"/>
      <c r="AF248" s="34"/>
      <c r="AG248" s="32">
        <f t="shared" si="57"/>
        <v>69262.22399999999</v>
      </c>
      <c r="AH248" s="32">
        <v>57500</v>
      </c>
      <c r="AI248" s="32">
        <f t="shared" si="66"/>
        <v>707506.7039999999</v>
      </c>
    </row>
    <row r="249" spans="1:35" ht="15.75">
      <c r="A249" s="3" t="s">
        <v>141</v>
      </c>
      <c r="B249" s="4" t="s">
        <v>73</v>
      </c>
      <c r="C249" s="3" t="s">
        <v>2</v>
      </c>
      <c r="D249" s="26">
        <v>3564.9</v>
      </c>
      <c r="E249" s="19">
        <f t="shared" si="58"/>
        <v>15400.368</v>
      </c>
      <c r="F249" s="19">
        <f t="shared" si="59"/>
        <v>50906.772</v>
      </c>
      <c r="G249" s="19">
        <f t="shared" si="60"/>
        <v>50478.984000000004</v>
      </c>
      <c r="H249" s="19">
        <f t="shared" si="61"/>
        <v>11122.488000000001</v>
      </c>
      <c r="I249" s="19">
        <f t="shared" si="62"/>
        <v>2566.728</v>
      </c>
      <c r="J249" s="19">
        <f t="shared" si="63"/>
        <v>7700.184</v>
      </c>
      <c r="K249" s="19">
        <f>80*6*2</f>
        <v>960</v>
      </c>
      <c r="L249" s="8">
        <f>144.73*3</f>
        <v>434.18999999999994</v>
      </c>
      <c r="M249" s="8"/>
      <c r="N249" s="8"/>
      <c r="O249" s="24">
        <f t="shared" si="53"/>
        <v>9803.475</v>
      </c>
      <c r="P249" s="32">
        <f t="shared" si="64"/>
        <v>149373.189</v>
      </c>
      <c r="Q249" s="32">
        <f t="shared" si="69"/>
        <v>56075.877</v>
      </c>
      <c r="R249" s="34">
        <f t="shared" si="54"/>
        <v>131544.81</v>
      </c>
      <c r="S249" s="19">
        <f>350*120</f>
        <v>42000</v>
      </c>
      <c r="T249" s="19">
        <v>490800.02</v>
      </c>
      <c r="U249" s="19"/>
      <c r="V249" s="19"/>
      <c r="W249" s="19"/>
      <c r="X249" s="19"/>
      <c r="Y249" s="32">
        <f t="shared" si="65"/>
        <v>532800.02</v>
      </c>
      <c r="Z249" s="32">
        <f t="shared" si="55"/>
        <v>55184.652</v>
      </c>
      <c r="AA249" s="32"/>
      <c r="AB249" s="32">
        <f t="shared" si="67"/>
        <v>20961.612</v>
      </c>
      <c r="AC249" s="34">
        <f t="shared" si="56"/>
        <v>9984.12</v>
      </c>
      <c r="AD249" s="8"/>
      <c r="AE249" s="8"/>
      <c r="AF249" s="34"/>
      <c r="AG249" s="32">
        <f t="shared" si="57"/>
        <v>50478.984000000004</v>
      </c>
      <c r="AH249" s="32"/>
      <c r="AI249" s="32">
        <f t="shared" si="66"/>
        <v>1006403.2640000001</v>
      </c>
    </row>
    <row r="250" spans="1:35" ht="15.75">
      <c r="A250" s="3" t="s">
        <v>141</v>
      </c>
      <c r="B250" s="4" t="s">
        <v>67</v>
      </c>
      <c r="C250" s="3" t="s">
        <v>66</v>
      </c>
      <c r="D250" s="26">
        <v>5789.6</v>
      </c>
      <c r="E250" s="19">
        <f t="shared" si="58"/>
        <v>25011.072</v>
      </c>
      <c r="F250" s="19">
        <f t="shared" si="59"/>
        <v>82675.488</v>
      </c>
      <c r="G250" s="19">
        <f t="shared" si="60"/>
        <v>81980.736</v>
      </c>
      <c r="H250" s="19">
        <f t="shared" si="61"/>
        <v>18063.552</v>
      </c>
      <c r="I250" s="19">
        <f t="shared" si="62"/>
        <v>4168.512000000001</v>
      </c>
      <c r="J250" s="19">
        <f t="shared" si="63"/>
        <v>12505.536</v>
      </c>
      <c r="K250" s="19">
        <f>119*8+119*6*2</f>
        <v>2380</v>
      </c>
      <c r="L250" s="8">
        <f>144.73*3</f>
        <v>434.18999999999994</v>
      </c>
      <c r="M250" s="8"/>
      <c r="N250" s="8"/>
      <c r="O250" s="24">
        <f t="shared" si="53"/>
        <v>15921.400000000003</v>
      </c>
      <c r="P250" s="32">
        <f t="shared" si="64"/>
        <v>243140.48599999998</v>
      </c>
      <c r="Q250" s="32">
        <f t="shared" si="69"/>
        <v>91070.40800000001</v>
      </c>
      <c r="R250" s="34">
        <f t="shared" si="54"/>
        <v>213636.24000000005</v>
      </c>
      <c r="S250" s="19"/>
      <c r="T250" s="19">
        <f>90*135</f>
        <v>12150</v>
      </c>
      <c r="U250" s="19"/>
      <c r="V250" s="19"/>
      <c r="W250" s="19"/>
      <c r="X250" s="19"/>
      <c r="Y250" s="32">
        <f t="shared" si="65"/>
        <v>12150</v>
      </c>
      <c r="Z250" s="32">
        <f t="shared" si="55"/>
        <v>89623.008</v>
      </c>
      <c r="AA250" s="32"/>
      <c r="AB250" s="32">
        <f t="shared" si="67"/>
        <v>34042.848</v>
      </c>
      <c r="AC250" s="34">
        <f t="shared" si="56"/>
        <v>16213.28</v>
      </c>
      <c r="AD250" s="8"/>
      <c r="AE250" s="8"/>
      <c r="AF250" s="34"/>
      <c r="AG250" s="32">
        <f t="shared" si="57"/>
        <v>81980.736</v>
      </c>
      <c r="AH250" s="32"/>
      <c r="AI250" s="32">
        <f t="shared" si="66"/>
        <v>781857.0060000002</v>
      </c>
    </row>
    <row r="251" spans="1:35" ht="15.75">
      <c r="A251" s="3" t="s">
        <v>141</v>
      </c>
      <c r="B251" s="4" t="s">
        <v>67</v>
      </c>
      <c r="C251" s="3" t="s">
        <v>111</v>
      </c>
      <c r="D251" s="26">
        <v>4430.2</v>
      </c>
      <c r="E251" s="19">
        <f t="shared" si="58"/>
        <v>19138.464</v>
      </c>
      <c r="F251" s="19">
        <f t="shared" si="59"/>
        <v>63263.255999999994</v>
      </c>
      <c r="G251" s="19">
        <f t="shared" si="60"/>
        <v>62731.632</v>
      </c>
      <c r="H251" s="19">
        <f t="shared" si="61"/>
        <v>13822.224000000002</v>
      </c>
      <c r="I251" s="19">
        <f t="shared" si="62"/>
        <v>3189.7439999999997</v>
      </c>
      <c r="J251" s="19">
        <f t="shared" si="63"/>
        <v>9569.232</v>
      </c>
      <c r="K251" s="19">
        <f>90*8+90*6*2</f>
        <v>1800</v>
      </c>
      <c r="L251" s="8">
        <f>144.73*2</f>
        <v>289.46</v>
      </c>
      <c r="M251" s="8"/>
      <c r="N251" s="8"/>
      <c r="O251" s="24">
        <f t="shared" si="53"/>
        <v>12183.050000000001</v>
      </c>
      <c r="P251" s="32">
        <f t="shared" si="64"/>
        <v>185987.06199999998</v>
      </c>
      <c r="Q251" s="32">
        <f t="shared" si="69"/>
        <v>69687.046</v>
      </c>
      <c r="R251" s="34">
        <f t="shared" si="54"/>
        <v>163474.37999999998</v>
      </c>
      <c r="S251" s="19"/>
      <c r="T251" s="19"/>
      <c r="U251" s="19"/>
      <c r="V251" s="19"/>
      <c r="W251" s="19"/>
      <c r="X251" s="19"/>
      <c r="Y251" s="32">
        <f t="shared" si="65"/>
        <v>0</v>
      </c>
      <c r="Z251" s="32">
        <f t="shared" si="55"/>
        <v>68579.496</v>
      </c>
      <c r="AA251" s="32"/>
      <c r="AB251" s="32">
        <f t="shared" si="67"/>
        <v>26049.575999999997</v>
      </c>
      <c r="AC251" s="34">
        <f t="shared" si="56"/>
        <v>12406.96</v>
      </c>
      <c r="AD251" s="8"/>
      <c r="AE251" s="8"/>
      <c r="AF251" s="34"/>
      <c r="AG251" s="32">
        <f t="shared" si="57"/>
        <v>62731.632</v>
      </c>
      <c r="AH251" s="32">
        <v>57500</v>
      </c>
      <c r="AI251" s="32">
        <f t="shared" si="66"/>
        <v>646416.1519999999</v>
      </c>
    </row>
    <row r="252" spans="1:35" ht="15.75">
      <c r="A252" s="3" t="s">
        <v>141</v>
      </c>
      <c r="B252" s="4" t="s">
        <v>129</v>
      </c>
      <c r="C252" s="3" t="s">
        <v>2</v>
      </c>
      <c r="D252" s="26">
        <v>3540.2</v>
      </c>
      <c r="E252" s="19">
        <f t="shared" si="58"/>
        <v>15293.664</v>
      </c>
      <c r="F252" s="19">
        <f t="shared" si="59"/>
        <v>50554.056</v>
      </c>
      <c r="G252" s="19">
        <f t="shared" si="60"/>
        <v>50129.231999999996</v>
      </c>
      <c r="H252" s="19">
        <f t="shared" si="61"/>
        <v>11045.423999999999</v>
      </c>
      <c r="I252" s="19">
        <f t="shared" si="62"/>
        <v>2548.9439999999995</v>
      </c>
      <c r="J252" s="19">
        <f t="shared" si="63"/>
        <v>7646.832</v>
      </c>
      <c r="K252" s="19">
        <f>80*6*2</f>
        <v>960</v>
      </c>
      <c r="L252" s="8">
        <f>144.73*3</f>
        <v>434.18999999999994</v>
      </c>
      <c r="M252" s="8"/>
      <c r="N252" s="8"/>
      <c r="O252" s="24">
        <f t="shared" si="53"/>
        <v>9735.550000000001</v>
      </c>
      <c r="P252" s="32">
        <f t="shared" si="64"/>
        <v>148347.892</v>
      </c>
      <c r="Q252" s="32">
        <f t="shared" si="69"/>
        <v>55687.346000000005</v>
      </c>
      <c r="R252" s="34">
        <f t="shared" si="54"/>
        <v>130633.37999999998</v>
      </c>
      <c r="S252" s="19">
        <f>192*120</f>
        <v>23040</v>
      </c>
      <c r="T252" s="19">
        <v>87000</v>
      </c>
      <c r="U252" s="19"/>
      <c r="V252" s="19"/>
      <c r="W252" s="19"/>
      <c r="X252" s="19"/>
      <c r="Y252" s="32">
        <f t="shared" si="65"/>
        <v>110040</v>
      </c>
      <c r="Z252" s="32">
        <f t="shared" si="55"/>
        <v>54802.296</v>
      </c>
      <c r="AA252" s="32"/>
      <c r="AB252" s="32">
        <f t="shared" si="67"/>
        <v>20816.375999999997</v>
      </c>
      <c r="AC252" s="34">
        <f t="shared" si="56"/>
        <v>9914.96</v>
      </c>
      <c r="AD252" s="8"/>
      <c r="AE252" s="8"/>
      <c r="AF252" s="34"/>
      <c r="AG252" s="32">
        <f t="shared" si="57"/>
        <v>50129.231999999996</v>
      </c>
      <c r="AH252" s="32">
        <v>57500</v>
      </c>
      <c r="AI252" s="32">
        <f t="shared" si="66"/>
        <v>637871.482</v>
      </c>
    </row>
    <row r="253" spans="1:35" ht="15.75">
      <c r="A253" s="3" t="s">
        <v>45</v>
      </c>
      <c r="B253" s="18" t="s">
        <v>91</v>
      </c>
      <c r="D253" s="26">
        <v>501.6</v>
      </c>
      <c r="E253" s="19">
        <f t="shared" si="58"/>
        <v>2166.912</v>
      </c>
      <c r="F253" s="19">
        <f t="shared" si="59"/>
        <v>7162.848</v>
      </c>
      <c r="G253" s="19">
        <f t="shared" si="60"/>
        <v>7102.656000000001</v>
      </c>
      <c r="H253" s="19">
        <f t="shared" si="61"/>
        <v>1564.992</v>
      </c>
      <c r="I253" s="19">
        <f t="shared" si="62"/>
        <v>361.152</v>
      </c>
      <c r="J253" s="19">
        <f t="shared" si="63"/>
        <v>1083.456</v>
      </c>
      <c r="K253" s="19">
        <f>10*8*4+10*6*2</f>
        <v>440</v>
      </c>
      <c r="L253" s="8">
        <f>144.73*3</f>
        <v>434.18999999999994</v>
      </c>
      <c r="M253" s="8"/>
      <c r="N253" s="8">
        <f>166*20.77</f>
        <v>3447.8199999999997</v>
      </c>
      <c r="O253" s="24">
        <f t="shared" si="53"/>
        <v>1379.4000000000003</v>
      </c>
      <c r="P253" s="32">
        <f t="shared" si="64"/>
        <v>25143.425999999996</v>
      </c>
      <c r="Q253" s="32">
        <f t="shared" si="69"/>
        <v>7890.1680000000015</v>
      </c>
      <c r="R253" s="34">
        <f t="shared" si="54"/>
        <v>18509.04</v>
      </c>
      <c r="S253" s="19"/>
      <c r="T253" s="19"/>
      <c r="U253" s="19">
        <v>115000</v>
      </c>
      <c r="V253" s="19">
        <f>91*150</f>
        <v>13650</v>
      </c>
      <c r="W253" s="19"/>
      <c r="X253" s="19"/>
      <c r="Y253" s="32">
        <f t="shared" si="65"/>
        <v>128650</v>
      </c>
      <c r="Z253" s="32">
        <f t="shared" si="55"/>
        <v>7764.768000000001</v>
      </c>
      <c r="AA253" s="32"/>
      <c r="AB253" s="32">
        <f t="shared" si="67"/>
        <v>2949.4080000000004</v>
      </c>
      <c r="AC253" s="34">
        <f t="shared" si="56"/>
        <v>1406.88</v>
      </c>
      <c r="AD253" s="8"/>
      <c r="AE253" s="8"/>
      <c r="AF253" s="34"/>
      <c r="AG253" s="32">
        <f t="shared" si="57"/>
        <v>7102.656000000001</v>
      </c>
      <c r="AH253" s="32">
        <v>57500</v>
      </c>
      <c r="AI253" s="32">
        <f t="shared" si="66"/>
        <v>256916.346</v>
      </c>
    </row>
    <row r="254" spans="1:35" ht="15.75">
      <c r="A254" s="3" t="s">
        <v>45</v>
      </c>
      <c r="B254" s="18" t="s">
        <v>172</v>
      </c>
      <c r="D254" s="26">
        <v>142.2</v>
      </c>
      <c r="E254" s="19">
        <f t="shared" si="58"/>
        <v>614.3039999999999</v>
      </c>
      <c r="F254" s="19">
        <f t="shared" si="59"/>
        <v>2030.616</v>
      </c>
      <c r="G254" s="19">
        <f t="shared" si="60"/>
        <v>2013.5519999999997</v>
      </c>
      <c r="H254" s="19">
        <f t="shared" si="61"/>
        <v>443.664</v>
      </c>
      <c r="I254" s="19">
        <f t="shared" si="62"/>
        <v>102.38399999999999</v>
      </c>
      <c r="J254" s="19">
        <f t="shared" si="63"/>
        <v>307.15199999999993</v>
      </c>
      <c r="K254" s="19">
        <f>2*8*4+2*6*2</f>
        <v>88</v>
      </c>
      <c r="L254" s="8">
        <f>144.73*6</f>
        <v>868.3799999999999</v>
      </c>
      <c r="M254" s="8"/>
      <c r="N254" s="8">
        <f>819*20.77</f>
        <v>17010.63</v>
      </c>
      <c r="O254" s="24">
        <f t="shared" si="53"/>
        <v>391.04999999999995</v>
      </c>
      <c r="P254" s="32">
        <f t="shared" si="64"/>
        <v>23869.732</v>
      </c>
      <c r="Q254" s="32"/>
      <c r="R254" s="34">
        <f t="shared" si="54"/>
        <v>5247.18</v>
      </c>
      <c r="S254" s="19">
        <f>30*700</f>
        <v>21000</v>
      </c>
      <c r="T254" s="19"/>
      <c r="U254" s="19"/>
      <c r="V254" s="19">
        <f>68*150</f>
        <v>10200</v>
      </c>
      <c r="W254" s="19">
        <f>4*220</f>
        <v>880</v>
      </c>
      <c r="X254" s="19"/>
      <c r="Y254" s="32">
        <f t="shared" si="65"/>
        <v>32080</v>
      </c>
      <c r="Z254" s="32">
        <f t="shared" si="55"/>
        <v>2201.256</v>
      </c>
      <c r="AA254" s="32"/>
      <c r="AB254" s="32">
        <f t="shared" si="67"/>
        <v>836.136</v>
      </c>
      <c r="AC254" s="34">
        <f t="shared" si="56"/>
        <v>400.55999999999995</v>
      </c>
      <c r="AD254" s="8"/>
      <c r="AE254" s="8"/>
      <c r="AF254" s="34"/>
      <c r="AG254" s="32">
        <f t="shared" si="57"/>
        <v>2013.5519999999997</v>
      </c>
      <c r="AH254" s="32">
        <v>57500</v>
      </c>
      <c r="AI254" s="32">
        <f t="shared" si="66"/>
        <v>124148.416</v>
      </c>
    </row>
    <row r="255" spans="1:35" ht="15.75">
      <c r="A255" s="3" t="s">
        <v>82</v>
      </c>
      <c r="B255" s="18" t="s">
        <v>173</v>
      </c>
      <c r="D255" s="26">
        <v>370.8</v>
      </c>
      <c r="E255" s="19">
        <f t="shared" si="58"/>
        <v>1601.856</v>
      </c>
      <c r="F255" s="19">
        <f t="shared" si="59"/>
        <v>5295.024</v>
      </c>
      <c r="G255" s="19">
        <f t="shared" si="60"/>
        <v>5250.528</v>
      </c>
      <c r="H255" s="19">
        <f t="shared" si="61"/>
        <v>1156.896</v>
      </c>
      <c r="I255" s="19">
        <f t="shared" si="62"/>
        <v>266.976</v>
      </c>
      <c r="J255" s="19">
        <f t="shared" si="63"/>
        <v>800.928</v>
      </c>
      <c r="K255" s="19">
        <f>8*8*4+8*6*2</f>
        <v>352</v>
      </c>
      <c r="L255" s="8">
        <f>144.73*12</f>
        <v>1736.7599999999998</v>
      </c>
      <c r="M255" s="8"/>
      <c r="N255" s="8"/>
      <c r="O255" s="24">
        <f t="shared" si="53"/>
        <v>1019.7000000000002</v>
      </c>
      <c r="P255" s="32">
        <f t="shared" si="64"/>
        <v>17480.668</v>
      </c>
      <c r="Q255" s="32"/>
      <c r="R255" s="34">
        <f t="shared" si="54"/>
        <v>13682.52</v>
      </c>
      <c r="S255" s="19"/>
      <c r="T255" s="19"/>
      <c r="U255" s="19"/>
      <c r="V255" s="19"/>
      <c r="W255" s="19"/>
      <c r="X255" s="19"/>
      <c r="Y255" s="32">
        <f t="shared" si="65"/>
        <v>0</v>
      </c>
      <c r="Z255" s="32">
        <f t="shared" si="55"/>
        <v>5739.984</v>
      </c>
      <c r="AA255" s="32"/>
      <c r="AB255" s="32">
        <f t="shared" si="67"/>
        <v>2180.304</v>
      </c>
      <c r="AC255" s="34">
        <f t="shared" si="56"/>
        <v>1040.6400000000003</v>
      </c>
      <c r="AD255" s="8"/>
      <c r="AE255" s="8"/>
      <c r="AF255" s="34"/>
      <c r="AG255" s="32">
        <f t="shared" si="57"/>
        <v>5250.528</v>
      </c>
      <c r="AH255" s="32">
        <v>57500</v>
      </c>
      <c r="AI255" s="32">
        <f t="shared" si="66"/>
        <v>102874.644</v>
      </c>
    </row>
    <row r="256" spans="5:35" ht="15">
      <c r="E256" s="8"/>
      <c r="F256" s="8"/>
      <c r="G256" s="8"/>
      <c r="H256" s="8"/>
      <c r="I256" s="8"/>
      <c r="J256" s="8"/>
      <c r="K256" s="19">
        <f>SUM(K3:K255)</f>
        <v>274250</v>
      </c>
      <c r="L256" s="19">
        <f aca="true" t="shared" si="70" ref="L256:AB256">SUM(L3:L255)</f>
        <v>637141.5799999984</v>
      </c>
      <c r="M256" s="19">
        <f t="shared" si="70"/>
        <v>18799.440000000006</v>
      </c>
      <c r="N256" s="19">
        <f t="shared" si="70"/>
        <v>550529.62</v>
      </c>
      <c r="O256" s="24"/>
      <c r="P256" s="19">
        <f t="shared" si="70"/>
        <v>28122991.787800003</v>
      </c>
      <c r="Q256" s="32">
        <f t="shared" si="70"/>
        <v>9052201.301</v>
      </c>
      <c r="R256" s="32">
        <f t="shared" si="70"/>
        <v>23683445.082</v>
      </c>
      <c r="S256" s="19">
        <f t="shared" si="70"/>
        <v>1494482</v>
      </c>
      <c r="T256" s="19">
        <f t="shared" si="70"/>
        <v>1608360.06</v>
      </c>
      <c r="U256" s="19">
        <f t="shared" si="70"/>
        <v>476015</v>
      </c>
      <c r="V256" s="19">
        <f t="shared" si="70"/>
        <v>618750</v>
      </c>
      <c r="W256" s="19">
        <f t="shared" si="70"/>
        <v>48356</v>
      </c>
      <c r="X256" s="19">
        <f t="shared" si="70"/>
        <v>2171480</v>
      </c>
      <c r="Y256" s="32">
        <f t="shared" si="70"/>
        <v>6417443.059999999</v>
      </c>
      <c r="Z256" s="32">
        <f t="shared" si="70"/>
        <v>9935494.034399997</v>
      </c>
      <c r="AA256" s="32">
        <f t="shared" si="70"/>
        <v>1540432.883</v>
      </c>
      <c r="AB256" s="32">
        <f t="shared" si="70"/>
        <v>3745840.946399998</v>
      </c>
      <c r="AC256" s="32">
        <f>SUM(AC3:AC255)</f>
        <v>1797724.9840000009</v>
      </c>
      <c r="AD256" s="32">
        <f aca="true" t="shared" si="71" ref="AD256:AI256">SUM(AD3:AD255)</f>
        <v>3112161.2600000002</v>
      </c>
      <c r="AE256" s="32">
        <f t="shared" si="71"/>
        <v>180745.72</v>
      </c>
      <c r="AF256" s="32">
        <f t="shared" si="71"/>
        <v>3262931.38</v>
      </c>
      <c r="AG256" s="32">
        <f t="shared" si="71"/>
        <v>9088281.364799997</v>
      </c>
      <c r="AH256" s="32">
        <f t="shared" si="71"/>
        <v>6152500</v>
      </c>
      <c r="AI256" s="32">
        <f t="shared" si="71"/>
        <v>102799286.82340002</v>
      </c>
    </row>
    <row r="257" spans="31:33" ht="15">
      <c r="AE257" s="20"/>
      <c r="AF257" s="37"/>
      <c r="AG257" s="37"/>
    </row>
    <row r="258" spans="31:33" ht="15">
      <c r="AE258" s="20"/>
      <c r="AF258" s="37"/>
      <c r="AG258" s="37"/>
    </row>
    <row r="264" ht="15">
      <c r="I264" t="s">
        <v>188</v>
      </c>
    </row>
    <row r="265" ht="15">
      <c r="J265">
        <f>525816.05/3633</f>
        <v>144.73329204514178</v>
      </c>
    </row>
    <row r="266" spans="1:2" ht="15.75">
      <c r="A266" s="11" t="s">
        <v>148</v>
      </c>
      <c r="B266" s="12">
        <v>290.8</v>
      </c>
    </row>
    <row r="267" spans="1:2" ht="15.75">
      <c r="A267" s="11" t="s">
        <v>149</v>
      </c>
      <c r="B267" s="12">
        <v>395.8</v>
      </c>
    </row>
    <row r="268" spans="1:2" ht="15.75">
      <c r="A268" s="9" t="s">
        <v>150</v>
      </c>
      <c r="B268" s="10">
        <v>80</v>
      </c>
    </row>
    <row r="269" spans="1:2" ht="15.75">
      <c r="A269" s="9" t="s">
        <v>151</v>
      </c>
      <c r="B269" s="10">
        <v>67.8</v>
      </c>
    </row>
    <row r="270" spans="1:2" ht="15.75">
      <c r="A270" s="13" t="s">
        <v>152</v>
      </c>
      <c r="B270" s="14">
        <v>135.7</v>
      </c>
    </row>
    <row r="271" spans="1:2" ht="15.75">
      <c r="A271" s="11" t="s">
        <v>153</v>
      </c>
      <c r="B271" s="12">
        <v>308</v>
      </c>
    </row>
    <row r="272" spans="1:2" ht="15.75">
      <c r="A272" s="11" t="s">
        <v>154</v>
      </c>
      <c r="B272" s="12">
        <v>290.8</v>
      </c>
    </row>
    <row r="273" spans="1:2" ht="15.75">
      <c r="A273" s="13" t="s">
        <v>155</v>
      </c>
      <c r="B273" s="14">
        <v>341.6</v>
      </c>
    </row>
    <row r="274" spans="1:2" ht="15.75">
      <c r="A274" s="13" t="s">
        <v>156</v>
      </c>
      <c r="B274" s="14">
        <v>150.8</v>
      </c>
    </row>
    <row r="275" spans="1:2" ht="15.75">
      <c r="A275" s="13" t="s">
        <v>157</v>
      </c>
      <c r="B275" s="14">
        <v>377.8</v>
      </c>
    </row>
    <row r="276" spans="1:2" ht="15.75">
      <c r="A276" s="13" t="s">
        <v>158</v>
      </c>
      <c r="B276" s="14">
        <v>368.3</v>
      </c>
    </row>
    <row r="277" spans="1:2" ht="15.75">
      <c r="A277" s="13" t="s">
        <v>159</v>
      </c>
      <c r="B277" s="14">
        <v>270.8</v>
      </c>
    </row>
    <row r="278" spans="1:2" ht="15.75">
      <c r="A278" s="13" t="s">
        <v>160</v>
      </c>
      <c r="B278" s="14">
        <v>295.2</v>
      </c>
    </row>
    <row r="279" spans="1:2" ht="15.75">
      <c r="A279" s="13" t="s">
        <v>161</v>
      </c>
      <c r="B279" s="14">
        <v>206.2</v>
      </c>
    </row>
    <row r="280" spans="1:2" ht="15.75">
      <c r="A280" s="13" t="s">
        <v>162</v>
      </c>
      <c r="B280" s="14">
        <v>237.6</v>
      </c>
    </row>
    <row r="281" spans="1:2" ht="15.75">
      <c r="A281" s="13" t="s">
        <v>163</v>
      </c>
      <c r="B281" s="14">
        <v>179.8</v>
      </c>
    </row>
    <row r="282" spans="1:2" ht="15.75">
      <c r="A282" s="13" t="s">
        <v>164</v>
      </c>
      <c r="B282" s="14">
        <v>396.33</v>
      </c>
    </row>
    <row r="283" spans="1:2" ht="15.75">
      <c r="A283" s="13" t="s">
        <v>165</v>
      </c>
      <c r="B283" s="14">
        <v>425</v>
      </c>
    </row>
    <row r="284" spans="1:2" ht="15.75">
      <c r="A284" s="13" t="s">
        <v>166</v>
      </c>
      <c r="B284" s="14">
        <v>168.9</v>
      </c>
    </row>
    <row r="285" spans="1:2" ht="15.75">
      <c r="A285" s="13" t="s">
        <v>167</v>
      </c>
      <c r="B285" s="14">
        <v>68.6</v>
      </c>
    </row>
    <row r="286" spans="1:2" ht="15.75">
      <c r="A286" s="13" t="s">
        <v>169</v>
      </c>
      <c r="B286" s="14">
        <v>161.5</v>
      </c>
    </row>
    <row r="287" spans="1:2" ht="15.75">
      <c r="A287" s="13" t="s">
        <v>168</v>
      </c>
      <c r="B287" s="14">
        <v>61.4</v>
      </c>
    </row>
    <row r="288" spans="1:2" ht="15.75">
      <c r="A288" s="13" t="s">
        <v>170</v>
      </c>
      <c r="B288" s="14">
        <v>340.4</v>
      </c>
    </row>
    <row r="289" spans="1:2" ht="15.75">
      <c r="A289" s="13" t="s">
        <v>171</v>
      </c>
      <c r="B289" s="14">
        <v>324.8</v>
      </c>
    </row>
    <row r="290" spans="1:7" ht="15">
      <c r="A290" s="15" t="s">
        <v>86</v>
      </c>
      <c r="B290" s="16" t="s">
        <v>14</v>
      </c>
      <c r="C290" s="3" t="s">
        <v>2</v>
      </c>
      <c r="D290" s="3"/>
      <c r="E290" s="8"/>
      <c r="F290" s="8"/>
      <c r="G290" s="8"/>
    </row>
    <row r="291" spans="1:7" ht="15">
      <c r="A291" s="15" t="s">
        <v>86</v>
      </c>
      <c r="B291" s="16" t="s">
        <v>91</v>
      </c>
      <c r="C291" s="3" t="s">
        <v>2</v>
      </c>
      <c r="D291" s="3"/>
      <c r="E291" s="8"/>
      <c r="F291" s="8"/>
      <c r="G291" s="8"/>
    </row>
    <row r="292" spans="1:7" ht="15">
      <c r="A292" s="17" t="s">
        <v>57</v>
      </c>
      <c r="B292" s="17" t="s">
        <v>6</v>
      </c>
      <c r="C292" s="3" t="s">
        <v>2</v>
      </c>
      <c r="D292" s="3"/>
      <c r="E292" s="8"/>
      <c r="F292" s="8"/>
      <c r="G292" s="8"/>
    </row>
  </sheetData>
  <sheetProtection/>
  <autoFilter ref="A2:C2"/>
  <mergeCells count="12">
    <mergeCell ref="E1:P1"/>
    <mergeCell ref="Q1:Q2"/>
    <mergeCell ref="R1:R2"/>
    <mergeCell ref="S1:Y1"/>
    <mergeCell ref="Z1:Z2"/>
    <mergeCell ref="AA1:AA2"/>
    <mergeCell ref="AB1:AB2"/>
    <mergeCell ref="AC1:AC2"/>
    <mergeCell ref="AH1:AH2"/>
    <mergeCell ref="AD1:AF1"/>
    <mergeCell ref="AI1:AI2"/>
    <mergeCell ref="AG1:A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7"/>
  <sheetViews>
    <sheetView zoomScalePageLayoutView="0" workbookViewId="0" topLeftCell="P1">
      <selection activeCell="C237" sqref="C237"/>
    </sheetView>
  </sheetViews>
  <sheetFormatPr defaultColWidth="9.140625" defaultRowHeight="15"/>
  <cols>
    <col min="1" max="1" width="34.7109375" style="0" customWidth="1"/>
    <col min="2" max="2" width="9.57421875" style="0" customWidth="1"/>
    <col min="3" max="3" width="9.00390625" style="0" customWidth="1"/>
    <col min="4" max="4" width="11.8515625" style="0" customWidth="1"/>
    <col min="5" max="5" width="13.140625" style="0" customWidth="1"/>
    <col min="6" max="6" width="12.57421875" style="0" customWidth="1"/>
    <col min="7" max="7" width="11.8515625" style="0" customWidth="1"/>
    <col min="8" max="8" width="12.28125" style="0" customWidth="1"/>
    <col min="9" max="9" width="13.28125" style="0" customWidth="1"/>
    <col min="10" max="10" width="14.57421875" style="0" customWidth="1"/>
    <col min="11" max="11" width="10.57421875" style="0" customWidth="1"/>
    <col min="12" max="12" width="10.00390625" style="0" customWidth="1"/>
    <col min="13" max="13" width="9.57421875" style="0" customWidth="1"/>
    <col min="14" max="14" width="13.140625" style="0" customWidth="1"/>
    <col min="15" max="15" width="13.140625" style="39" customWidth="1"/>
    <col min="16" max="16" width="12.57421875" style="22" customWidth="1"/>
    <col min="17" max="17" width="12.28125" style="22" customWidth="1"/>
    <col min="18" max="18" width="11.57421875" style="22" bestFit="1" customWidth="1"/>
    <col min="19" max="19" width="10.57421875" style="0" bestFit="1" customWidth="1"/>
    <col min="20" max="21" width="9.57421875" style="0" bestFit="1" customWidth="1"/>
    <col min="22" max="22" width="11.140625" style="0" customWidth="1"/>
    <col min="24" max="24" width="10.57421875" style="0" customWidth="1"/>
    <col min="25" max="25" width="10.57421875" style="22" bestFit="1" customWidth="1"/>
    <col min="26" max="26" width="11.7109375" style="22" customWidth="1"/>
    <col min="27" max="27" width="11.140625" style="22" customWidth="1"/>
    <col min="28" max="28" width="12.57421875" style="22" customWidth="1"/>
    <col min="29" max="29" width="15.00390625" style="22" customWidth="1"/>
    <col min="30" max="31" width="14.57421875" style="0" customWidth="1"/>
    <col min="32" max="33" width="14.57421875" style="22" customWidth="1"/>
    <col min="34" max="34" width="15.7109375" style="22" customWidth="1"/>
    <col min="35" max="35" width="12.57421875" style="22" customWidth="1"/>
  </cols>
  <sheetData>
    <row r="1" spans="5:35" ht="15" customHeight="1">
      <c r="E1" s="70" t="s">
        <v>145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3" t="s">
        <v>183</v>
      </c>
      <c r="R1" s="73" t="s">
        <v>185</v>
      </c>
      <c r="S1" s="74" t="s">
        <v>186</v>
      </c>
      <c r="T1" s="75"/>
      <c r="U1" s="75"/>
      <c r="V1" s="75"/>
      <c r="W1" s="75"/>
      <c r="X1" s="75"/>
      <c r="Y1" s="76"/>
      <c r="Z1" s="71" t="s">
        <v>197</v>
      </c>
      <c r="AA1" s="71" t="s">
        <v>198</v>
      </c>
      <c r="AB1" s="70" t="s">
        <v>199</v>
      </c>
      <c r="AC1" s="70" t="s">
        <v>200</v>
      </c>
      <c r="AD1" s="70" t="s">
        <v>201</v>
      </c>
      <c r="AE1" s="70"/>
      <c r="AF1" s="70"/>
      <c r="AG1" s="71" t="s">
        <v>207</v>
      </c>
      <c r="AH1" s="70" t="s">
        <v>202</v>
      </c>
      <c r="AI1" s="70" t="s">
        <v>206</v>
      </c>
    </row>
    <row r="2" spans="1:35" ht="90.75" customHeight="1">
      <c r="A2" s="1" t="s">
        <v>142</v>
      </c>
      <c r="B2" s="2" t="s">
        <v>143</v>
      </c>
      <c r="C2" s="2" t="s">
        <v>144</v>
      </c>
      <c r="D2" s="25" t="s">
        <v>147</v>
      </c>
      <c r="E2" s="7" t="s">
        <v>146</v>
      </c>
      <c r="F2" s="7" t="s">
        <v>174</v>
      </c>
      <c r="G2" s="7" t="s">
        <v>175</v>
      </c>
      <c r="H2" s="7" t="s">
        <v>176</v>
      </c>
      <c r="I2" s="21" t="s">
        <v>177</v>
      </c>
      <c r="J2" s="7" t="s">
        <v>178</v>
      </c>
      <c r="K2" s="7" t="s">
        <v>179</v>
      </c>
      <c r="L2" s="7" t="s">
        <v>180</v>
      </c>
      <c r="M2" s="7" t="s">
        <v>181</v>
      </c>
      <c r="N2" s="7" t="s">
        <v>190</v>
      </c>
      <c r="O2" s="23" t="s">
        <v>184</v>
      </c>
      <c r="P2" s="31" t="s">
        <v>182</v>
      </c>
      <c r="Q2" s="73"/>
      <c r="R2" s="73"/>
      <c r="S2" s="7" t="s">
        <v>189</v>
      </c>
      <c r="T2" s="7" t="s">
        <v>191</v>
      </c>
      <c r="U2" s="7" t="s">
        <v>192</v>
      </c>
      <c r="V2" s="7" t="s">
        <v>193</v>
      </c>
      <c r="W2" s="7" t="s">
        <v>194</v>
      </c>
      <c r="X2" s="7" t="s">
        <v>195</v>
      </c>
      <c r="Y2" s="33" t="s">
        <v>196</v>
      </c>
      <c r="Z2" s="72"/>
      <c r="AA2" s="72"/>
      <c r="AB2" s="70"/>
      <c r="AC2" s="70"/>
      <c r="AD2" s="35" t="s">
        <v>204</v>
      </c>
      <c r="AE2" s="35" t="s">
        <v>203</v>
      </c>
      <c r="AF2" s="38" t="s">
        <v>205</v>
      </c>
      <c r="AG2" s="72"/>
      <c r="AH2" s="70"/>
      <c r="AI2" s="70"/>
    </row>
    <row r="3" spans="1:35" ht="15.75">
      <c r="A3" s="3" t="s">
        <v>0</v>
      </c>
      <c r="B3" s="4" t="s">
        <v>1</v>
      </c>
      <c r="C3" s="3" t="s">
        <v>2</v>
      </c>
      <c r="D3" s="26">
        <v>3219.2</v>
      </c>
      <c r="E3" s="19">
        <f>D3*0.36*12</f>
        <v>13906.943999999998</v>
      </c>
      <c r="F3" s="19">
        <f>D3*1.19*12</f>
        <v>45970.17599999999</v>
      </c>
      <c r="G3" s="19">
        <f>D3*1.18*12</f>
        <v>45583.871999999996</v>
      </c>
      <c r="H3" s="19">
        <f>D3*0.26*12</f>
        <v>10043.903999999999</v>
      </c>
      <c r="I3" s="19">
        <f>D3*0.06*12</f>
        <v>2317.8239999999996</v>
      </c>
      <c r="J3" s="19">
        <f>D3*0.18*12</f>
        <v>6953.471999999999</v>
      </c>
      <c r="K3" s="19">
        <f>80*8*4+80*6*2</f>
        <v>3520</v>
      </c>
      <c r="L3" s="8">
        <f>144.73*3</f>
        <v>434.18999999999994</v>
      </c>
      <c r="M3" s="8"/>
      <c r="N3" s="8"/>
      <c r="O3" s="24">
        <f aca="true" t="shared" si="0" ref="O3:O66">D3*0.55*5</f>
        <v>8852.8</v>
      </c>
      <c r="P3" s="32">
        <f>SUM(E3:O3)</f>
        <v>137583.18199999997</v>
      </c>
      <c r="Q3" s="32">
        <f>D3*1.27*5+D3*1.34*7</f>
        <v>50638.016</v>
      </c>
      <c r="R3" s="34">
        <f aca="true" t="shared" si="1" ref="R3:R66">D3*3.18*5+D3*3*7</f>
        <v>118788.47999999998</v>
      </c>
      <c r="S3" s="19"/>
      <c r="T3" s="19"/>
      <c r="U3" s="19"/>
      <c r="V3" s="8"/>
      <c r="W3" s="19">
        <f>5*220</f>
        <v>1100</v>
      </c>
      <c r="X3" s="19"/>
      <c r="Y3" s="32">
        <f>SUM(S3:X3)</f>
        <v>1100</v>
      </c>
      <c r="Z3" s="32">
        <f aca="true" t="shared" si="2" ref="Z3:Z66">D3*1.29*12</f>
        <v>49833.216</v>
      </c>
      <c r="AA3" s="32"/>
      <c r="AB3" s="32">
        <f>D3*0.49*12</f>
        <v>18928.896</v>
      </c>
      <c r="AC3" s="34">
        <f aca="true" t="shared" si="3" ref="AC3:AC66">D3*0.4*7+0.48*5</f>
        <v>9016.16</v>
      </c>
      <c r="AD3" s="8"/>
      <c r="AE3" s="8"/>
      <c r="AF3" s="34"/>
      <c r="AG3" s="32">
        <f aca="true" t="shared" si="4" ref="AG3:AG66">D3*1.18*12</f>
        <v>45583.871999999996</v>
      </c>
      <c r="AH3" s="32">
        <v>57500</v>
      </c>
      <c r="AI3" s="32">
        <f>P3+Q3+R3+Y3+Z3+AA3+AB3+AC3+AF3+AG3+AH3</f>
        <v>488971.8219999999</v>
      </c>
    </row>
    <row r="4" spans="1:35" ht="15.75">
      <c r="A4" s="3" t="s">
        <v>0</v>
      </c>
      <c r="B4" s="4" t="s">
        <v>3</v>
      </c>
      <c r="C4" s="3" t="s">
        <v>2</v>
      </c>
      <c r="D4" s="26">
        <v>973</v>
      </c>
      <c r="E4" s="19">
        <f aca="true" t="shared" si="5" ref="E4:E67">D4*0.36*12</f>
        <v>4203.36</v>
      </c>
      <c r="F4" s="19">
        <f aca="true" t="shared" si="6" ref="F4:F67">D4*1.19*12</f>
        <v>13894.439999999999</v>
      </c>
      <c r="G4" s="19">
        <f aca="true" t="shared" si="7" ref="G4:G67">D4*1.18*12</f>
        <v>13777.679999999998</v>
      </c>
      <c r="H4" s="19">
        <f aca="true" t="shared" si="8" ref="H4:H67">D4*0.26*12</f>
        <v>3035.76</v>
      </c>
      <c r="I4" s="19">
        <f aca="true" t="shared" si="9" ref="I4:I67">D4*0.06*12</f>
        <v>700.56</v>
      </c>
      <c r="J4" s="19">
        <f aca="true" t="shared" si="10" ref="J4:J67">D4*0.18*12</f>
        <v>2101.68</v>
      </c>
      <c r="K4" s="19">
        <f>16*8*4+16*6*2</f>
        <v>704</v>
      </c>
      <c r="L4" s="8">
        <f>144.73*3</f>
        <v>434.18999999999994</v>
      </c>
      <c r="M4" s="8"/>
      <c r="N4" s="8"/>
      <c r="O4" s="24">
        <f t="shared" si="0"/>
        <v>2675.7500000000005</v>
      </c>
      <c r="P4" s="32">
        <f aca="true" t="shared" si="11" ref="P4:P67">SUM(E4:O4)</f>
        <v>41527.42</v>
      </c>
      <c r="Q4" s="32">
        <f>D4*1.27*5+D4*1.34*7</f>
        <v>15305.29</v>
      </c>
      <c r="R4" s="34">
        <f t="shared" si="1"/>
        <v>35903.7</v>
      </c>
      <c r="S4" s="19"/>
      <c r="T4" s="19"/>
      <c r="U4" s="19"/>
      <c r="V4" s="8"/>
      <c r="W4" s="19"/>
      <c r="X4" s="19"/>
      <c r="Y4" s="32">
        <f aca="true" t="shared" si="12" ref="Y4:Y67">SUM(S4:X4)</f>
        <v>0</v>
      </c>
      <c r="Z4" s="32">
        <f t="shared" si="2"/>
        <v>15062.04</v>
      </c>
      <c r="AA4" s="32"/>
      <c r="AB4" s="32">
        <f>D4*0.49*12</f>
        <v>5721.24</v>
      </c>
      <c r="AC4" s="34">
        <f t="shared" si="3"/>
        <v>2726.8000000000006</v>
      </c>
      <c r="AD4" s="8"/>
      <c r="AE4" s="8"/>
      <c r="AF4" s="34"/>
      <c r="AG4" s="32">
        <f t="shared" si="4"/>
        <v>13777.679999999998</v>
      </c>
      <c r="AH4" s="32">
        <v>57500</v>
      </c>
      <c r="AI4" s="32">
        <f aca="true" t="shared" si="13" ref="AI4:AI67">P4+Q4+R4+Y4+Z4+AA4+AB4+AC4+AF4+AG4+AH4</f>
        <v>187524.17</v>
      </c>
    </row>
    <row r="5" spans="1:35" s="46" customFormat="1" ht="15.75">
      <c r="A5" s="4" t="s">
        <v>4</v>
      </c>
      <c r="B5" s="4" t="s">
        <v>5</v>
      </c>
      <c r="C5" s="4" t="s">
        <v>2</v>
      </c>
      <c r="D5" s="40">
        <v>1010.1</v>
      </c>
      <c r="E5" s="41">
        <f t="shared" si="5"/>
        <v>4363.632</v>
      </c>
      <c r="F5" s="41">
        <f t="shared" si="6"/>
        <v>14424.228</v>
      </c>
      <c r="G5" s="41">
        <f t="shared" si="7"/>
        <v>14303.016</v>
      </c>
      <c r="H5" s="41">
        <f t="shared" si="8"/>
        <v>3151.5120000000006</v>
      </c>
      <c r="I5" s="41">
        <f t="shared" si="9"/>
        <v>727.272</v>
      </c>
      <c r="J5" s="41">
        <f t="shared" si="10"/>
        <v>2181.816</v>
      </c>
      <c r="K5" s="41">
        <f>16*8*4+16*6*2</f>
        <v>704</v>
      </c>
      <c r="L5" s="42">
        <f>144.73*3</f>
        <v>434.18999999999994</v>
      </c>
      <c r="M5" s="42"/>
      <c r="N5" s="42">
        <f>1001*20.77</f>
        <v>20790.77</v>
      </c>
      <c r="O5" s="43">
        <f t="shared" si="0"/>
        <v>2777.7750000000005</v>
      </c>
      <c r="P5" s="44">
        <f t="shared" si="11"/>
        <v>63858.211</v>
      </c>
      <c r="Q5" s="44"/>
      <c r="R5" s="45">
        <f t="shared" si="1"/>
        <v>37272.69</v>
      </c>
      <c r="S5" s="41"/>
      <c r="T5" s="41"/>
      <c r="U5" s="41"/>
      <c r="V5" s="42"/>
      <c r="W5" s="41"/>
      <c r="X5" s="41"/>
      <c r="Y5" s="44">
        <f t="shared" si="12"/>
        <v>0</v>
      </c>
      <c r="Z5" s="44">
        <f t="shared" si="2"/>
        <v>15636.348</v>
      </c>
      <c r="AA5" s="44"/>
      <c r="AB5" s="44"/>
      <c r="AC5" s="45">
        <f t="shared" si="3"/>
        <v>2830.6800000000003</v>
      </c>
      <c r="AD5" s="42"/>
      <c r="AE5" s="42"/>
      <c r="AF5" s="45"/>
      <c r="AG5" s="44">
        <f t="shared" si="4"/>
        <v>14303.016</v>
      </c>
      <c r="AH5" s="44">
        <v>57500</v>
      </c>
      <c r="AI5" s="44">
        <f t="shared" si="13"/>
        <v>191400.945</v>
      </c>
    </row>
    <row r="6" spans="1:35" s="46" customFormat="1" ht="15.75">
      <c r="A6" s="4" t="s">
        <v>4</v>
      </c>
      <c r="B6" s="4" t="s">
        <v>6</v>
      </c>
      <c r="C6" s="4" t="s">
        <v>2</v>
      </c>
      <c r="D6" s="40">
        <v>1026.5</v>
      </c>
      <c r="E6" s="41">
        <f t="shared" si="5"/>
        <v>4434.48</v>
      </c>
      <c r="F6" s="41">
        <f t="shared" si="6"/>
        <v>14658.419999999998</v>
      </c>
      <c r="G6" s="41">
        <f t="shared" si="7"/>
        <v>14535.24</v>
      </c>
      <c r="H6" s="41">
        <f t="shared" si="8"/>
        <v>3202.68</v>
      </c>
      <c r="I6" s="41">
        <f t="shared" si="9"/>
        <v>739.0799999999999</v>
      </c>
      <c r="J6" s="41">
        <f t="shared" si="10"/>
        <v>2217.24</v>
      </c>
      <c r="K6" s="41">
        <f>8*6*2</f>
        <v>96</v>
      </c>
      <c r="L6" s="42">
        <f>144.73*14</f>
        <v>2026.2199999999998</v>
      </c>
      <c r="M6" s="42"/>
      <c r="N6" s="42">
        <f>1001*20.77</f>
        <v>20790.77</v>
      </c>
      <c r="O6" s="43">
        <f t="shared" si="0"/>
        <v>2822.875</v>
      </c>
      <c r="P6" s="44">
        <f t="shared" si="11"/>
        <v>65523.005000000005</v>
      </c>
      <c r="Q6" s="44"/>
      <c r="R6" s="45">
        <f t="shared" si="1"/>
        <v>37877.85</v>
      </c>
      <c r="S6" s="41"/>
      <c r="T6" s="41"/>
      <c r="U6" s="41"/>
      <c r="V6" s="42"/>
      <c r="W6" s="41"/>
      <c r="X6" s="41"/>
      <c r="Y6" s="44">
        <f t="shared" si="12"/>
        <v>0</v>
      </c>
      <c r="Z6" s="44">
        <f t="shared" si="2"/>
        <v>15890.22</v>
      </c>
      <c r="AA6" s="44"/>
      <c r="AB6" s="44"/>
      <c r="AC6" s="45">
        <f t="shared" si="3"/>
        <v>2876.6000000000004</v>
      </c>
      <c r="AD6" s="42"/>
      <c r="AE6" s="42"/>
      <c r="AF6" s="45"/>
      <c r="AG6" s="44">
        <f t="shared" si="4"/>
        <v>14535.24</v>
      </c>
      <c r="AH6" s="44">
        <v>57500</v>
      </c>
      <c r="AI6" s="44">
        <f t="shared" si="13"/>
        <v>194202.915</v>
      </c>
    </row>
    <row r="7" spans="1:35" s="46" customFormat="1" ht="15.75">
      <c r="A7" s="4" t="s">
        <v>4</v>
      </c>
      <c r="B7" s="4" t="s">
        <v>7</v>
      </c>
      <c r="C7" s="4" t="s">
        <v>2</v>
      </c>
      <c r="D7" s="40">
        <v>2668</v>
      </c>
      <c r="E7" s="41">
        <f t="shared" si="5"/>
        <v>11525.76</v>
      </c>
      <c r="F7" s="41">
        <f t="shared" si="6"/>
        <v>38099.04</v>
      </c>
      <c r="G7" s="41">
        <f t="shared" si="7"/>
        <v>37778.88</v>
      </c>
      <c r="H7" s="41">
        <f t="shared" si="8"/>
        <v>8324.16</v>
      </c>
      <c r="I7" s="41">
        <f t="shared" si="9"/>
        <v>1920.9599999999998</v>
      </c>
      <c r="J7" s="41">
        <f t="shared" si="10"/>
        <v>5762.88</v>
      </c>
      <c r="K7" s="41">
        <f>34*8*4+34*6*2</f>
        <v>1496</v>
      </c>
      <c r="L7" s="42">
        <f>144.78*2</f>
        <v>289.56</v>
      </c>
      <c r="M7" s="42"/>
      <c r="N7" s="42"/>
      <c r="O7" s="43">
        <f t="shared" si="0"/>
        <v>7337</v>
      </c>
      <c r="P7" s="44">
        <f t="shared" si="11"/>
        <v>112534.24</v>
      </c>
      <c r="Q7" s="44">
        <f>D7*1.27*5+D7*1.34*7</f>
        <v>41967.64</v>
      </c>
      <c r="R7" s="45">
        <f t="shared" si="1"/>
        <v>98449.2</v>
      </c>
      <c r="S7" s="41"/>
      <c r="T7" s="41"/>
      <c r="U7" s="41"/>
      <c r="V7" s="42"/>
      <c r="W7" s="41"/>
      <c r="X7" s="41"/>
      <c r="Y7" s="44">
        <f t="shared" si="12"/>
        <v>0</v>
      </c>
      <c r="Z7" s="44">
        <f t="shared" si="2"/>
        <v>41300.64</v>
      </c>
      <c r="AA7" s="44"/>
      <c r="AB7" s="44">
        <f aca="true" t="shared" si="14" ref="AB7:AB25">D7*0.49*12</f>
        <v>15687.84</v>
      </c>
      <c r="AC7" s="45">
        <f t="shared" si="3"/>
        <v>7472.8</v>
      </c>
      <c r="AD7" s="42"/>
      <c r="AE7" s="42"/>
      <c r="AF7" s="45"/>
      <c r="AG7" s="44">
        <f t="shared" si="4"/>
        <v>37778.88</v>
      </c>
      <c r="AH7" s="44">
        <v>57500</v>
      </c>
      <c r="AI7" s="44">
        <f t="shared" si="13"/>
        <v>412691.24000000005</v>
      </c>
    </row>
    <row r="8" spans="1:35" s="46" customFormat="1" ht="15.75">
      <c r="A8" s="4" t="s">
        <v>4</v>
      </c>
      <c r="B8" s="4" t="s">
        <v>8</v>
      </c>
      <c r="C8" s="4" t="s">
        <v>2</v>
      </c>
      <c r="D8" s="40">
        <v>2702.2</v>
      </c>
      <c r="E8" s="41">
        <f t="shared" si="5"/>
        <v>11673.503999999999</v>
      </c>
      <c r="F8" s="41">
        <f t="shared" si="6"/>
        <v>38587.416</v>
      </c>
      <c r="G8" s="41">
        <f t="shared" si="7"/>
        <v>38263.151999999995</v>
      </c>
      <c r="H8" s="41">
        <f t="shared" si="8"/>
        <v>8430.864</v>
      </c>
      <c r="I8" s="41">
        <f t="shared" si="9"/>
        <v>1945.5839999999998</v>
      </c>
      <c r="J8" s="41">
        <f t="shared" si="10"/>
        <v>5836.7519999999995</v>
      </c>
      <c r="K8" s="41">
        <f>34*8*4+34*6*2</f>
        <v>1496</v>
      </c>
      <c r="L8" s="42">
        <f>144.73*3</f>
        <v>434.18999999999994</v>
      </c>
      <c r="M8" s="42"/>
      <c r="N8" s="42"/>
      <c r="O8" s="43">
        <f t="shared" si="0"/>
        <v>7431.05</v>
      </c>
      <c r="P8" s="44">
        <f t="shared" si="11"/>
        <v>114098.51199999999</v>
      </c>
      <c r="Q8" s="44">
        <f>D8*1.27*5+D8*1.34*7</f>
        <v>42505.606</v>
      </c>
      <c r="R8" s="45">
        <f t="shared" si="1"/>
        <v>99711.18</v>
      </c>
      <c r="S8" s="41"/>
      <c r="T8" s="41"/>
      <c r="U8" s="41"/>
      <c r="V8" s="42"/>
      <c r="W8" s="41"/>
      <c r="X8" s="41"/>
      <c r="Y8" s="44">
        <f t="shared" si="12"/>
        <v>0</v>
      </c>
      <c r="Z8" s="44">
        <f t="shared" si="2"/>
        <v>41830.056</v>
      </c>
      <c r="AA8" s="44"/>
      <c r="AB8" s="44">
        <f t="shared" si="14"/>
        <v>15888.936</v>
      </c>
      <c r="AC8" s="45">
        <f t="shared" si="3"/>
        <v>7568.559999999999</v>
      </c>
      <c r="AD8" s="42"/>
      <c r="AE8" s="42"/>
      <c r="AF8" s="45"/>
      <c r="AG8" s="44">
        <f t="shared" si="4"/>
        <v>38263.151999999995</v>
      </c>
      <c r="AH8" s="44">
        <v>57500</v>
      </c>
      <c r="AI8" s="44">
        <f t="shared" si="13"/>
        <v>417366.002</v>
      </c>
    </row>
    <row r="9" spans="1:35" s="46" customFormat="1" ht="15.75">
      <c r="A9" s="4" t="s">
        <v>4</v>
      </c>
      <c r="B9" s="4" t="s">
        <v>9</v>
      </c>
      <c r="C9" s="4" t="s">
        <v>2</v>
      </c>
      <c r="D9" s="40">
        <v>2739.1</v>
      </c>
      <c r="E9" s="41">
        <f t="shared" si="5"/>
        <v>11832.911999999998</v>
      </c>
      <c r="F9" s="41">
        <f t="shared" si="6"/>
        <v>39114.348</v>
      </c>
      <c r="G9" s="41">
        <f t="shared" si="7"/>
        <v>38785.656</v>
      </c>
      <c r="H9" s="41">
        <f t="shared" si="8"/>
        <v>8545.992</v>
      </c>
      <c r="I9" s="41">
        <f t="shared" si="9"/>
        <v>1972.1519999999996</v>
      </c>
      <c r="J9" s="41">
        <f t="shared" si="10"/>
        <v>5916.455999999999</v>
      </c>
      <c r="K9" s="41">
        <f>56*8*4+56*2*6</f>
        <v>2464</v>
      </c>
      <c r="L9" s="42">
        <f>144.73*66</f>
        <v>9552.179999999998</v>
      </c>
      <c r="M9" s="42"/>
      <c r="N9" s="42"/>
      <c r="O9" s="43">
        <f t="shared" si="0"/>
        <v>7532.525000000001</v>
      </c>
      <c r="P9" s="44">
        <f t="shared" si="11"/>
        <v>125716.22099999999</v>
      </c>
      <c r="Q9" s="44">
        <f>D9*1.27*5+D9*1.34*7</f>
        <v>43086.043000000005</v>
      </c>
      <c r="R9" s="45">
        <f t="shared" si="1"/>
        <v>101072.79</v>
      </c>
      <c r="S9" s="41"/>
      <c r="T9" s="41"/>
      <c r="U9" s="41"/>
      <c r="V9" s="42"/>
      <c r="W9" s="41"/>
      <c r="X9" s="41">
        <v>107000</v>
      </c>
      <c r="Y9" s="44">
        <f t="shared" si="12"/>
        <v>107000</v>
      </c>
      <c r="Z9" s="44">
        <f t="shared" si="2"/>
        <v>42401.268</v>
      </c>
      <c r="AA9" s="44"/>
      <c r="AB9" s="44">
        <f t="shared" si="14"/>
        <v>16105.908</v>
      </c>
      <c r="AC9" s="45">
        <f t="shared" si="3"/>
        <v>7671.88</v>
      </c>
      <c r="AD9" s="42"/>
      <c r="AE9" s="42"/>
      <c r="AF9" s="45"/>
      <c r="AG9" s="44">
        <f t="shared" si="4"/>
        <v>38785.656</v>
      </c>
      <c r="AH9" s="44">
        <v>57500</v>
      </c>
      <c r="AI9" s="44">
        <f t="shared" si="13"/>
        <v>539339.7660000001</v>
      </c>
    </row>
    <row r="10" spans="1:35" s="46" customFormat="1" ht="15.75">
      <c r="A10" s="4" t="s">
        <v>4</v>
      </c>
      <c r="B10" s="4" t="s">
        <v>10</v>
      </c>
      <c r="C10" s="4" t="s">
        <v>2</v>
      </c>
      <c r="D10" s="40">
        <v>1544.3</v>
      </c>
      <c r="E10" s="41">
        <f t="shared" si="5"/>
        <v>6671.376</v>
      </c>
      <c r="F10" s="41">
        <f t="shared" si="6"/>
        <v>22052.604</v>
      </c>
      <c r="G10" s="41">
        <f t="shared" si="7"/>
        <v>21867.288</v>
      </c>
      <c r="H10" s="41">
        <f t="shared" si="8"/>
        <v>4818.216</v>
      </c>
      <c r="I10" s="41">
        <f t="shared" si="9"/>
        <v>1111.8959999999997</v>
      </c>
      <c r="J10" s="41">
        <f t="shared" si="10"/>
        <v>3335.688</v>
      </c>
      <c r="K10" s="41">
        <f>36*8*4+36*6*2</f>
        <v>1584</v>
      </c>
      <c r="L10" s="42">
        <f>44*144.73</f>
        <v>6368.12</v>
      </c>
      <c r="M10" s="42"/>
      <c r="N10" s="42"/>
      <c r="O10" s="43">
        <f t="shared" si="0"/>
        <v>4246.825</v>
      </c>
      <c r="P10" s="44">
        <f t="shared" si="11"/>
        <v>72056.01299999999</v>
      </c>
      <c r="Q10" s="44"/>
      <c r="R10" s="45">
        <f t="shared" si="1"/>
        <v>56984.67</v>
      </c>
      <c r="S10" s="41"/>
      <c r="T10" s="41"/>
      <c r="U10" s="41"/>
      <c r="V10" s="42"/>
      <c r="W10" s="41">
        <f>5*220</f>
        <v>1100</v>
      </c>
      <c r="X10" s="41">
        <v>6000</v>
      </c>
      <c r="Y10" s="44">
        <f t="shared" si="12"/>
        <v>7100</v>
      </c>
      <c r="Z10" s="44">
        <f t="shared" si="2"/>
        <v>23905.764</v>
      </c>
      <c r="AA10" s="44"/>
      <c r="AB10" s="44">
        <f t="shared" si="14"/>
        <v>9080.484</v>
      </c>
      <c r="AC10" s="45">
        <f t="shared" si="3"/>
        <v>4326.44</v>
      </c>
      <c r="AD10" s="42"/>
      <c r="AE10" s="42"/>
      <c r="AF10" s="45"/>
      <c r="AG10" s="44">
        <f t="shared" si="4"/>
        <v>21867.288</v>
      </c>
      <c r="AH10" s="44">
        <v>57500</v>
      </c>
      <c r="AI10" s="44">
        <f t="shared" si="13"/>
        <v>252820.65899999999</v>
      </c>
    </row>
    <row r="11" spans="1:35" s="46" customFormat="1" ht="15.75">
      <c r="A11" s="4" t="s">
        <v>4</v>
      </c>
      <c r="B11" s="4" t="s">
        <v>11</v>
      </c>
      <c r="C11" s="4" t="s">
        <v>2</v>
      </c>
      <c r="D11" s="40">
        <v>1028.7</v>
      </c>
      <c r="E11" s="41">
        <f t="shared" si="5"/>
        <v>4443.984</v>
      </c>
      <c r="F11" s="41">
        <f t="shared" si="6"/>
        <v>14689.836</v>
      </c>
      <c r="G11" s="41">
        <f t="shared" si="7"/>
        <v>14566.392</v>
      </c>
      <c r="H11" s="41">
        <f t="shared" si="8"/>
        <v>3209.544000000001</v>
      </c>
      <c r="I11" s="41">
        <f t="shared" si="9"/>
        <v>740.664</v>
      </c>
      <c r="J11" s="41">
        <f t="shared" si="10"/>
        <v>2221.992</v>
      </c>
      <c r="K11" s="41">
        <f>8*8*4+8*6*2</f>
        <v>352</v>
      </c>
      <c r="L11" s="42"/>
      <c r="M11" s="42"/>
      <c r="N11" s="42"/>
      <c r="O11" s="43">
        <f t="shared" si="0"/>
        <v>2828.925</v>
      </c>
      <c r="P11" s="44">
        <f t="shared" si="11"/>
        <v>43053.337</v>
      </c>
      <c r="Q11" s="44"/>
      <c r="R11" s="45">
        <f t="shared" si="1"/>
        <v>37959.030000000006</v>
      </c>
      <c r="S11" s="41"/>
      <c r="T11" s="41"/>
      <c r="U11" s="41"/>
      <c r="V11" s="42"/>
      <c r="W11" s="41"/>
      <c r="X11" s="41"/>
      <c r="Y11" s="44">
        <f t="shared" si="12"/>
        <v>0</v>
      </c>
      <c r="Z11" s="44">
        <f t="shared" si="2"/>
        <v>15924.276000000002</v>
      </c>
      <c r="AA11" s="44"/>
      <c r="AB11" s="44">
        <f t="shared" si="14"/>
        <v>6048.755999999999</v>
      </c>
      <c r="AC11" s="45">
        <f t="shared" si="3"/>
        <v>2882.76</v>
      </c>
      <c r="AD11" s="42"/>
      <c r="AE11" s="42"/>
      <c r="AF11" s="45"/>
      <c r="AG11" s="44">
        <f t="shared" si="4"/>
        <v>14566.392</v>
      </c>
      <c r="AH11" s="44"/>
      <c r="AI11" s="44">
        <f t="shared" si="13"/>
        <v>120434.55099999998</v>
      </c>
    </row>
    <row r="12" spans="1:35" s="46" customFormat="1" ht="15.75">
      <c r="A12" s="4" t="s">
        <v>4</v>
      </c>
      <c r="B12" s="4" t="s">
        <v>12</v>
      </c>
      <c r="C12" s="4" t="s">
        <v>2</v>
      </c>
      <c r="D12" s="40">
        <v>1479.3</v>
      </c>
      <c r="E12" s="41">
        <f t="shared" si="5"/>
        <v>6390.576</v>
      </c>
      <c r="F12" s="41">
        <f t="shared" si="6"/>
        <v>21124.404</v>
      </c>
      <c r="G12" s="41">
        <f t="shared" si="7"/>
        <v>20946.888</v>
      </c>
      <c r="H12" s="41">
        <f t="shared" si="8"/>
        <v>4615.416</v>
      </c>
      <c r="I12" s="41">
        <f t="shared" si="9"/>
        <v>1065.096</v>
      </c>
      <c r="J12" s="41">
        <f t="shared" si="10"/>
        <v>3195.288</v>
      </c>
      <c r="K12" s="41">
        <f>36*8*4+36*6*2</f>
        <v>1584</v>
      </c>
      <c r="L12" s="42">
        <f>44*144.73</f>
        <v>6368.12</v>
      </c>
      <c r="M12" s="42"/>
      <c r="N12" s="42">
        <f>850*20.77</f>
        <v>17654.5</v>
      </c>
      <c r="O12" s="43">
        <f t="shared" si="0"/>
        <v>4068.075</v>
      </c>
      <c r="P12" s="44">
        <f t="shared" si="11"/>
        <v>87012.363</v>
      </c>
      <c r="Q12" s="44">
        <f aca="true" t="shared" si="15" ref="Q12:Q25">D12*1.27*5+D12*1.34*7</f>
        <v>23269.389000000003</v>
      </c>
      <c r="R12" s="45">
        <f t="shared" si="1"/>
        <v>54586.17</v>
      </c>
      <c r="S12" s="41"/>
      <c r="T12" s="41"/>
      <c r="U12" s="41"/>
      <c r="V12" s="42"/>
      <c r="W12" s="41">
        <f>9*220</f>
        <v>1980</v>
      </c>
      <c r="X12" s="41"/>
      <c r="Y12" s="44">
        <f t="shared" si="12"/>
        <v>1980</v>
      </c>
      <c r="Z12" s="44">
        <f t="shared" si="2"/>
        <v>22899.564</v>
      </c>
      <c r="AA12" s="44"/>
      <c r="AB12" s="44">
        <f t="shared" si="14"/>
        <v>8698.284</v>
      </c>
      <c r="AC12" s="45">
        <f t="shared" si="3"/>
        <v>4144.44</v>
      </c>
      <c r="AD12" s="42"/>
      <c r="AE12" s="42"/>
      <c r="AF12" s="45"/>
      <c r="AG12" s="44">
        <f t="shared" si="4"/>
        <v>20946.888</v>
      </c>
      <c r="AH12" s="44">
        <v>57500</v>
      </c>
      <c r="AI12" s="44">
        <f t="shared" si="13"/>
        <v>281037.098</v>
      </c>
    </row>
    <row r="13" spans="1:35" s="46" customFormat="1" ht="15.75">
      <c r="A13" s="4" t="s">
        <v>4</v>
      </c>
      <c r="B13" s="4" t="s">
        <v>13</v>
      </c>
      <c r="C13" s="4" t="s">
        <v>2</v>
      </c>
      <c r="D13" s="40">
        <v>3536.9</v>
      </c>
      <c r="E13" s="41">
        <f t="shared" si="5"/>
        <v>15279.408</v>
      </c>
      <c r="F13" s="41">
        <f t="shared" si="6"/>
        <v>50506.932</v>
      </c>
      <c r="G13" s="41">
        <f t="shared" si="7"/>
        <v>50082.50399999999</v>
      </c>
      <c r="H13" s="41">
        <f t="shared" si="8"/>
        <v>11035.128</v>
      </c>
      <c r="I13" s="41">
        <f t="shared" si="9"/>
        <v>2546.568</v>
      </c>
      <c r="J13" s="41">
        <f t="shared" si="10"/>
        <v>7639.704</v>
      </c>
      <c r="K13" s="41">
        <f>80*6*2</f>
        <v>960</v>
      </c>
      <c r="L13" s="42">
        <f>144.73*3</f>
        <v>434.18999999999994</v>
      </c>
      <c r="M13" s="42"/>
      <c r="N13" s="42"/>
      <c r="O13" s="43">
        <f t="shared" si="0"/>
        <v>9726.475000000002</v>
      </c>
      <c r="P13" s="44">
        <f t="shared" si="11"/>
        <v>148210.90899999999</v>
      </c>
      <c r="Q13" s="44">
        <f t="shared" si="15"/>
        <v>55635.437000000005</v>
      </c>
      <c r="R13" s="45">
        <f t="shared" si="1"/>
        <v>130511.61000000002</v>
      </c>
      <c r="S13" s="41"/>
      <c r="T13" s="41"/>
      <c r="U13" s="41"/>
      <c r="V13" s="42"/>
      <c r="W13" s="41">
        <f>2.4*220</f>
        <v>528</v>
      </c>
      <c r="X13" s="41"/>
      <c r="Y13" s="44">
        <f t="shared" si="12"/>
        <v>528</v>
      </c>
      <c r="Z13" s="44">
        <f t="shared" si="2"/>
        <v>54751.21200000001</v>
      </c>
      <c r="AA13" s="44"/>
      <c r="AB13" s="44">
        <f t="shared" si="14"/>
        <v>20796.971999999998</v>
      </c>
      <c r="AC13" s="45">
        <f t="shared" si="3"/>
        <v>9905.720000000001</v>
      </c>
      <c r="AD13" s="42"/>
      <c r="AE13" s="42"/>
      <c r="AF13" s="45"/>
      <c r="AG13" s="44">
        <f t="shared" si="4"/>
        <v>50082.50399999999</v>
      </c>
      <c r="AH13" s="44">
        <v>57500</v>
      </c>
      <c r="AI13" s="44">
        <f t="shared" si="13"/>
        <v>527922.3640000001</v>
      </c>
    </row>
    <row r="14" spans="1:35" s="46" customFormat="1" ht="15.75">
      <c r="A14" s="4" t="s">
        <v>4</v>
      </c>
      <c r="B14" s="4" t="s">
        <v>14</v>
      </c>
      <c r="C14" s="4" t="s">
        <v>2</v>
      </c>
      <c r="D14" s="40">
        <v>3551.6</v>
      </c>
      <c r="E14" s="41">
        <f t="shared" si="5"/>
        <v>15342.912</v>
      </c>
      <c r="F14" s="41">
        <f t="shared" si="6"/>
        <v>50716.848</v>
      </c>
      <c r="G14" s="41">
        <f t="shared" si="7"/>
        <v>50290.656</v>
      </c>
      <c r="H14" s="41">
        <f t="shared" si="8"/>
        <v>11080.992</v>
      </c>
      <c r="I14" s="41">
        <f t="shared" si="9"/>
        <v>2557.1519999999996</v>
      </c>
      <c r="J14" s="41">
        <f t="shared" si="10"/>
        <v>7671.456</v>
      </c>
      <c r="K14" s="41">
        <f>80*8+80*6*2</f>
        <v>1600</v>
      </c>
      <c r="L14" s="42">
        <f>144.73*3</f>
        <v>434.18999999999994</v>
      </c>
      <c r="M14" s="42"/>
      <c r="N14" s="42"/>
      <c r="O14" s="43">
        <f t="shared" si="0"/>
        <v>9766.900000000001</v>
      </c>
      <c r="P14" s="44">
        <f t="shared" si="11"/>
        <v>149461.106</v>
      </c>
      <c r="Q14" s="44">
        <f t="shared" si="15"/>
        <v>55866.668000000005</v>
      </c>
      <c r="R14" s="45">
        <f t="shared" si="1"/>
        <v>131054.04</v>
      </c>
      <c r="S14" s="41">
        <f>100*120</f>
        <v>12000</v>
      </c>
      <c r="T14" s="41"/>
      <c r="U14" s="41"/>
      <c r="V14" s="42"/>
      <c r="W14" s="41"/>
      <c r="X14" s="41"/>
      <c r="Y14" s="44">
        <f t="shared" si="12"/>
        <v>12000</v>
      </c>
      <c r="Z14" s="44">
        <f t="shared" si="2"/>
        <v>54978.768000000004</v>
      </c>
      <c r="AA14" s="44"/>
      <c r="AB14" s="44">
        <f t="shared" si="14"/>
        <v>20883.408</v>
      </c>
      <c r="AC14" s="45">
        <f t="shared" si="3"/>
        <v>9946.880000000001</v>
      </c>
      <c r="AD14" s="42"/>
      <c r="AE14" s="42"/>
      <c r="AF14" s="45"/>
      <c r="AG14" s="44">
        <f t="shared" si="4"/>
        <v>50290.656</v>
      </c>
      <c r="AH14" s="44"/>
      <c r="AI14" s="44">
        <f t="shared" si="13"/>
        <v>484481.526</v>
      </c>
    </row>
    <row r="15" spans="1:35" s="46" customFormat="1" ht="15.75">
      <c r="A15" s="4" t="s">
        <v>4</v>
      </c>
      <c r="B15" s="4" t="s">
        <v>15</v>
      </c>
      <c r="C15" s="4" t="s">
        <v>2</v>
      </c>
      <c r="D15" s="40">
        <v>3540.7</v>
      </c>
      <c r="E15" s="41">
        <f t="shared" si="5"/>
        <v>15295.823999999997</v>
      </c>
      <c r="F15" s="41">
        <f t="shared" si="6"/>
        <v>50561.195999999996</v>
      </c>
      <c r="G15" s="41">
        <f t="shared" si="7"/>
        <v>50136.312</v>
      </c>
      <c r="H15" s="41">
        <f t="shared" si="8"/>
        <v>11046.984</v>
      </c>
      <c r="I15" s="41">
        <f t="shared" si="9"/>
        <v>2549.3039999999996</v>
      </c>
      <c r="J15" s="41">
        <f t="shared" si="10"/>
        <v>7647.911999999998</v>
      </c>
      <c r="K15" s="41">
        <f>80*6*2</f>
        <v>960</v>
      </c>
      <c r="L15" s="42">
        <f>90*144.73</f>
        <v>13025.699999999999</v>
      </c>
      <c r="M15" s="42"/>
      <c r="N15" s="42"/>
      <c r="O15" s="43">
        <f t="shared" si="0"/>
        <v>9736.925</v>
      </c>
      <c r="P15" s="44">
        <f t="shared" si="11"/>
        <v>160960.157</v>
      </c>
      <c r="Q15" s="44">
        <f t="shared" si="15"/>
        <v>55695.210999999996</v>
      </c>
      <c r="R15" s="45">
        <f t="shared" si="1"/>
        <v>130651.82999999999</v>
      </c>
      <c r="S15" s="41">
        <f>130*120</f>
        <v>15600</v>
      </c>
      <c r="T15" s="41"/>
      <c r="U15" s="41"/>
      <c r="V15" s="42"/>
      <c r="W15" s="41"/>
      <c r="X15" s="41"/>
      <c r="Y15" s="44">
        <f t="shared" si="12"/>
        <v>15600</v>
      </c>
      <c r="Z15" s="44">
        <f t="shared" si="2"/>
        <v>54810.03599999999</v>
      </c>
      <c r="AA15" s="44"/>
      <c r="AB15" s="44">
        <f t="shared" si="14"/>
        <v>20819.316</v>
      </c>
      <c r="AC15" s="45">
        <f t="shared" si="3"/>
        <v>9916.359999999999</v>
      </c>
      <c r="AD15" s="42"/>
      <c r="AE15" s="42"/>
      <c r="AF15" s="45"/>
      <c r="AG15" s="44">
        <f t="shared" si="4"/>
        <v>50136.312</v>
      </c>
      <c r="AH15" s="44"/>
      <c r="AI15" s="44">
        <f t="shared" si="13"/>
        <v>498589.2219999999</v>
      </c>
    </row>
    <row r="16" spans="1:35" s="46" customFormat="1" ht="15.75">
      <c r="A16" s="4" t="s">
        <v>4</v>
      </c>
      <c r="B16" s="4" t="s">
        <v>16</v>
      </c>
      <c r="C16" s="4" t="s">
        <v>2</v>
      </c>
      <c r="D16" s="40">
        <v>2728.6</v>
      </c>
      <c r="E16" s="41">
        <f t="shared" si="5"/>
        <v>11787.552</v>
      </c>
      <c r="F16" s="41">
        <f t="shared" si="6"/>
        <v>38964.407999999996</v>
      </c>
      <c r="G16" s="41">
        <f t="shared" si="7"/>
        <v>38636.975999999995</v>
      </c>
      <c r="H16" s="41">
        <f t="shared" si="8"/>
        <v>8513.232</v>
      </c>
      <c r="I16" s="41">
        <f t="shared" si="9"/>
        <v>1964.5919999999996</v>
      </c>
      <c r="J16" s="41">
        <f t="shared" si="10"/>
        <v>5893.776</v>
      </c>
      <c r="K16" s="41">
        <f>56*8+56*6*2</f>
        <v>1120</v>
      </c>
      <c r="L16" s="42">
        <f>144.73*3</f>
        <v>434.18999999999994</v>
      </c>
      <c r="M16" s="42"/>
      <c r="N16" s="42"/>
      <c r="O16" s="43">
        <f t="shared" si="0"/>
        <v>7503.65</v>
      </c>
      <c r="P16" s="44">
        <f t="shared" si="11"/>
        <v>114818.37599999999</v>
      </c>
      <c r="Q16" s="44">
        <f t="shared" si="15"/>
        <v>42920.878</v>
      </c>
      <c r="R16" s="45">
        <f t="shared" si="1"/>
        <v>100685.34</v>
      </c>
      <c r="S16" s="41"/>
      <c r="T16" s="41"/>
      <c r="U16" s="41"/>
      <c r="V16" s="42"/>
      <c r="W16" s="41"/>
      <c r="X16" s="41"/>
      <c r="Y16" s="44">
        <f t="shared" si="12"/>
        <v>0</v>
      </c>
      <c r="Z16" s="44">
        <f t="shared" si="2"/>
        <v>42238.727999999996</v>
      </c>
      <c r="AA16" s="44"/>
      <c r="AB16" s="44">
        <f t="shared" si="14"/>
        <v>16044.167999999998</v>
      </c>
      <c r="AC16" s="45">
        <f t="shared" si="3"/>
        <v>7642.48</v>
      </c>
      <c r="AD16" s="42"/>
      <c r="AE16" s="42"/>
      <c r="AF16" s="45"/>
      <c r="AG16" s="44">
        <f t="shared" si="4"/>
        <v>38636.975999999995</v>
      </c>
      <c r="AH16" s="44"/>
      <c r="AI16" s="44">
        <f t="shared" si="13"/>
        <v>362986.946</v>
      </c>
    </row>
    <row r="17" spans="1:35" s="46" customFormat="1" ht="15.75">
      <c r="A17" s="4" t="s">
        <v>4</v>
      </c>
      <c r="B17" s="4" t="s">
        <v>17</v>
      </c>
      <c r="C17" s="4" t="s">
        <v>2</v>
      </c>
      <c r="D17" s="40">
        <v>3530.6</v>
      </c>
      <c r="E17" s="41">
        <f t="shared" si="5"/>
        <v>15252.192</v>
      </c>
      <c r="F17" s="41">
        <f t="shared" si="6"/>
        <v>50416.96799999999</v>
      </c>
      <c r="G17" s="41">
        <f t="shared" si="7"/>
        <v>49993.29599999999</v>
      </c>
      <c r="H17" s="41">
        <f t="shared" si="8"/>
        <v>11015.472</v>
      </c>
      <c r="I17" s="41">
        <f t="shared" si="9"/>
        <v>2542.0319999999997</v>
      </c>
      <c r="J17" s="41">
        <f t="shared" si="10"/>
        <v>7626.096</v>
      </c>
      <c r="K17" s="41">
        <f>80*6*2</f>
        <v>960</v>
      </c>
      <c r="L17" s="42">
        <f>90*144.73</f>
        <v>13025.699999999999</v>
      </c>
      <c r="M17" s="42"/>
      <c r="N17" s="42"/>
      <c r="O17" s="43">
        <f t="shared" si="0"/>
        <v>9709.150000000001</v>
      </c>
      <c r="P17" s="44">
        <f t="shared" si="11"/>
        <v>160540.906</v>
      </c>
      <c r="Q17" s="44">
        <f t="shared" si="15"/>
        <v>55536.338</v>
      </c>
      <c r="R17" s="45">
        <f t="shared" si="1"/>
        <v>130279.14</v>
      </c>
      <c r="S17" s="41"/>
      <c r="T17" s="41">
        <f>30*135</f>
        <v>4050</v>
      </c>
      <c r="U17" s="41"/>
      <c r="V17" s="42"/>
      <c r="W17" s="41"/>
      <c r="X17" s="41">
        <v>6000</v>
      </c>
      <c r="Y17" s="44">
        <f t="shared" si="12"/>
        <v>10050</v>
      </c>
      <c r="Z17" s="44">
        <f t="shared" si="2"/>
        <v>54653.688</v>
      </c>
      <c r="AA17" s="44"/>
      <c r="AB17" s="44">
        <f t="shared" si="14"/>
        <v>20759.928</v>
      </c>
      <c r="AC17" s="45">
        <f t="shared" si="3"/>
        <v>9888.08</v>
      </c>
      <c r="AD17" s="42"/>
      <c r="AE17" s="42"/>
      <c r="AF17" s="45"/>
      <c r="AG17" s="44">
        <f t="shared" si="4"/>
        <v>49993.29599999999</v>
      </c>
      <c r="AH17" s="44">
        <v>57500</v>
      </c>
      <c r="AI17" s="44">
        <f t="shared" si="13"/>
        <v>549201.376</v>
      </c>
    </row>
    <row r="18" spans="1:35" s="46" customFormat="1" ht="15.75">
      <c r="A18" s="4" t="s">
        <v>4</v>
      </c>
      <c r="B18" s="4" t="s">
        <v>18</v>
      </c>
      <c r="C18" s="4" t="s">
        <v>2</v>
      </c>
      <c r="D18" s="40">
        <v>2592.3</v>
      </c>
      <c r="E18" s="41">
        <f t="shared" si="5"/>
        <v>11198.736</v>
      </c>
      <c r="F18" s="41">
        <f t="shared" si="6"/>
        <v>37018.044</v>
      </c>
      <c r="G18" s="41">
        <f t="shared" si="7"/>
        <v>36706.968</v>
      </c>
      <c r="H18" s="41">
        <f t="shared" si="8"/>
        <v>8087.976000000001</v>
      </c>
      <c r="I18" s="41">
        <f t="shared" si="9"/>
        <v>1866.4560000000001</v>
      </c>
      <c r="J18" s="41">
        <f t="shared" si="10"/>
        <v>5599.368</v>
      </c>
      <c r="K18" s="41">
        <f>60*8+60*6*2</f>
        <v>1200</v>
      </c>
      <c r="L18" s="42">
        <f>144.73*3</f>
        <v>434.18999999999994</v>
      </c>
      <c r="M18" s="42"/>
      <c r="N18" s="42"/>
      <c r="O18" s="43">
        <f t="shared" si="0"/>
        <v>7128.825000000002</v>
      </c>
      <c r="P18" s="44">
        <f t="shared" si="11"/>
        <v>109240.563</v>
      </c>
      <c r="Q18" s="44">
        <f t="shared" si="15"/>
        <v>40776.879</v>
      </c>
      <c r="R18" s="45">
        <f t="shared" si="1"/>
        <v>95655.87000000001</v>
      </c>
      <c r="S18" s="41"/>
      <c r="T18" s="41"/>
      <c r="U18" s="41"/>
      <c r="V18" s="42"/>
      <c r="W18" s="41"/>
      <c r="X18" s="41">
        <v>58000</v>
      </c>
      <c r="Y18" s="44">
        <f t="shared" si="12"/>
        <v>58000</v>
      </c>
      <c r="Z18" s="44">
        <f t="shared" si="2"/>
        <v>40128.804000000004</v>
      </c>
      <c r="AA18" s="44"/>
      <c r="AB18" s="44">
        <f t="shared" si="14"/>
        <v>15242.724000000002</v>
      </c>
      <c r="AC18" s="45">
        <f t="shared" si="3"/>
        <v>7260.84</v>
      </c>
      <c r="AD18" s="42"/>
      <c r="AE18" s="42"/>
      <c r="AF18" s="45"/>
      <c r="AG18" s="44">
        <f t="shared" si="4"/>
        <v>36706.968</v>
      </c>
      <c r="AH18" s="44"/>
      <c r="AI18" s="44">
        <f t="shared" si="13"/>
        <v>403012.648</v>
      </c>
    </row>
    <row r="19" spans="1:35" s="46" customFormat="1" ht="15.75">
      <c r="A19" s="4" t="s">
        <v>4</v>
      </c>
      <c r="B19" s="4" t="s">
        <v>19</v>
      </c>
      <c r="C19" s="4" t="s">
        <v>2</v>
      </c>
      <c r="D19" s="40">
        <v>3532.7</v>
      </c>
      <c r="E19" s="41">
        <f t="shared" si="5"/>
        <v>15261.264</v>
      </c>
      <c r="F19" s="41">
        <f t="shared" si="6"/>
        <v>50446.95599999999</v>
      </c>
      <c r="G19" s="41">
        <f t="shared" si="7"/>
        <v>50023.03199999999</v>
      </c>
      <c r="H19" s="41">
        <f t="shared" si="8"/>
        <v>11022.024</v>
      </c>
      <c r="I19" s="41">
        <f t="shared" si="9"/>
        <v>2543.544</v>
      </c>
      <c r="J19" s="41">
        <f t="shared" si="10"/>
        <v>7630.632</v>
      </c>
      <c r="K19" s="41">
        <f>80*8+80*6*2</f>
        <v>1600</v>
      </c>
      <c r="L19" s="42">
        <f>144.73*3</f>
        <v>434.18999999999994</v>
      </c>
      <c r="M19" s="42"/>
      <c r="N19" s="42"/>
      <c r="O19" s="43">
        <f t="shared" si="0"/>
        <v>9714.925000000001</v>
      </c>
      <c r="P19" s="44">
        <f t="shared" si="11"/>
        <v>148676.56699999998</v>
      </c>
      <c r="Q19" s="44">
        <f t="shared" si="15"/>
        <v>55569.371</v>
      </c>
      <c r="R19" s="45">
        <f t="shared" si="1"/>
        <v>130356.62999999999</v>
      </c>
      <c r="S19" s="41"/>
      <c r="T19" s="41"/>
      <c r="U19" s="41"/>
      <c r="V19" s="42"/>
      <c r="W19" s="41"/>
      <c r="X19" s="41"/>
      <c r="Y19" s="44">
        <f t="shared" si="12"/>
        <v>0</v>
      </c>
      <c r="Z19" s="44">
        <f t="shared" si="2"/>
        <v>54686.195999999996</v>
      </c>
      <c r="AA19" s="44"/>
      <c r="AB19" s="44">
        <f t="shared" si="14"/>
        <v>20772.275999999998</v>
      </c>
      <c r="AC19" s="45">
        <f t="shared" si="3"/>
        <v>9893.96</v>
      </c>
      <c r="AD19" s="42"/>
      <c r="AE19" s="42"/>
      <c r="AF19" s="45"/>
      <c r="AG19" s="44">
        <f t="shared" si="4"/>
        <v>50023.03199999999</v>
      </c>
      <c r="AH19" s="44"/>
      <c r="AI19" s="44">
        <f t="shared" si="13"/>
        <v>469978.032</v>
      </c>
    </row>
    <row r="20" spans="1:35" s="46" customFormat="1" ht="15.75">
      <c r="A20" s="4" t="s">
        <v>4</v>
      </c>
      <c r="B20" s="4" t="s">
        <v>20</v>
      </c>
      <c r="C20" s="4" t="s">
        <v>2</v>
      </c>
      <c r="D20" s="40">
        <v>2586.8</v>
      </c>
      <c r="E20" s="41">
        <f t="shared" si="5"/>
        <v>11174.976</v>
      </c>
      <c r="F20" s="41">
        <f t="shared" si="6"/>
        <v>36939.504</v>
      </c>
      <c r="G20" s="41">
        <f t="shared" si="7"/>
        <v>36629.088</v>
      </c>
      <c r="H20" s="41">
        <f t="shared" si="8"/>
        <v>8070.816000000001</v>
      </c>
      <c r="I20" s="41">
        <f t="shared" si="9"/>
        <v>1862.496</v>
      </c>
      <c r="J20" s="41">
        <f t="shared" si="10"/>
        <v>5587.488</v>
      </c>
      <c r="K20" s="41">
        <f>60*8+60*6*2</f>
        <v>1200</v>
      </c>
      <c r="L20" s="42">
        <f>144.73*3</f>
        <v>434.18999999999994</v>
      </c>
      <c r="M20" s="42"/>
      <c r="N20" s="42"/>
      <c r="O20" s="43">
        <f t="shared" si="0"/>
        <v>7113.700000000001</v>
      </c>
      <c r="P20" s="44">
        <f t="shared" si="11"/>
        <v>109012.258</v>
      </c>
      <c r="Q20" s="44">
        <f t="shared" si="15"/>
        <v>40690.364</v>
      </c>
      <c r="R20" s="45">
        <f t="shared" si="1"/>
        <v>95452.92000000001</v>
      </c>
      <c r="S20" s="41"/>
      <c r="T20" s="41"/>
      <c r="U20" s="41"/>
      <c r="V20" s="42"/>
      <c r="W20" s="41"/>
      <c r="X20" s="41"/>
      <c r="Y20" s="44">
        <f t="shared" si="12"/>
        <v>0</v>
      </c>
      <c r="Z20" s="44">
        <f t="shared" si="2"/>
        <v>40043.664000000004</v>
      </c>
      <c r="AA20" s="44"/>
      <c r="AB20" s="44">
        <f t="shared" si="14"/>
        <v>15210.384000000002</v>
      </c>
      <c r="AC20" s="45">
        <f t="shared" si="3"/>
        <v>7245.44</v>
      </c>
      <c r="AD20" s="42"/>
      <c r="AE20" s="42"/>
      <c r="AF20" s="45"/>
      <c r="AG20" s="44">
        <f t="shared" si="4"/>
        <v>36629.088</v>
      </c>
      <c r="AH20" s="44"/>
      <c r="AI20" s="44">
        <f t="shared" si="13"/>
        <v>344284.118</v>
      </c>
    </row>
    <row r="21" spans="1:35" s="46" customFormat="1" ht="15.75">
      <c r="A21" s="4" t="s">
        <v>4</v>
      </c>
      <c r="B21" s="4" t="s">
        <v>21</v>
      </c>
      <c r="C21" s="4" t="s">
        <v>2</v>
      </c>
      <c r="D21" s="40">
        <v>3576.4</v>
      </c>
      <c r="E21" s="41">
        <f t="shared" si="5"/>
        <v>15450.047999999999</v>
      </c>
      <c r="F21" s="41">
        <f t="shared" si="6"/>
        <v>51070.992</v>
      </c>
      <c r="G21" s="41">
        <f t="shared" si="7"/>
        <v>50641.824</v>
      </c>
      <c r="H21" s="41">
        <f t="shared" si="8"/>
        <v>11158.368</v>
      </c>
      <c r="I21" s="41">
        <f t="shared" si="9"/>
        <v>2575.008</v>
      </c>
      <c r="J21" s="41">
        <f t="shared" si="10"/>
        <v>7725.023999999999</v>
      </c>
      <c r="K21" s="41">
        <f>80*6*2</f>
        <v>960</v>
      </c>
      <c r="L21" s="42">
        <f>90*144.73</f>
        <v>13025.699999999999</v>
      </c>
      <c r="M21" s="42"/>
      <c r="N21" s="42"/>
      <c r="O21" s="43">
        <f t="shared" si="0"/>
        <v>9835.1</v>
      </c>
      <c r="P21" s="44">
        <f t="shared" si="11"/>
        <v>162442.064</v>
      </c>
      <c r="Q21" s="44">
        <f t="shared" si="15"/>
        <v>56256.772</v>
      </c>
      <c r="R21" s="45">
        <f t="shared" si="1"/>
        <v>131969.16000000003</v>
      </c>
      <c r="S21" s="41"/>
      <c r="T21" s="41">
        <f>300*135</f>
        <v>40500</v>
      </c>
      <c r="U21" s="41"/>
      <c r="V21" s="42"/>
      <c r="W21" s="41"/>
      <c r="X21" s="41">
        <v>6000</v>
      </c>
      <c r="Y21" s="44">
        <f t="shared" si="12"/>
        <v>46500</v>
      </c>
      <c r="Z21" s="44">
        <f t="shared" si="2"/>
        <v>55362.672000000006</v>
      </c>
      <c r="AA21" s="44"/>
      <c r="AB21" s="44">
        <f t="shared" si="14"/>
        <v>21029.232</v>
      </c>
      <c r="AC21" s="45">
        <f t="shared" si="3"/>
        <v>10016.320000000002</v>
      </c>
      <c r="AD21" s="42"/>
      <c r="AE21" s="42"/>
      <c r="AF21" s="45"/>
      <c r="AG21" s="44">
        <f t="shared" si="4"/>
        <v>50641.824</v>
      </c>
      <c r="AH21" s="44">
        <v>57500</v>
      </c>
      <c r="AI21" s="44">
        <f t="shared" si="13"/>
        <v>591718.0440000001</v>
      </c>
    </row>
    <row r="22" spans="1:35" s="46" customFormat="1" ht="15.75">
      <c r="A22" s="4" t="s">
        <v>4</v>
      </c>
      <c r="B22" s="4" t="s">
        <v>22</v>
      </c>
      <c r="C22" s="4" t="s">
        <v>2</v>
      </c>
      <c r="D22" s="40">
        <v>2554.3</v>
      </c>
      <c r="E22" s="41">
        <f t="shared" si="5"/>
        <v>11034.576000000001</v>
      </c>
      <c r="F22" s="41">
        <f t="shared" si="6"/>
        <v>36475.404</v>
      </c>
      <c r="G22" s="41">
        <f t="shared" si="7"/>
        <v>36168.888</v>
      </c>
      <c r="H22" s="41">
        <f t="shared" si="8"/>
        <v>7969.416000000001</v>
      </c>
      <c r="I22" s="41">
        <f t="shared" si="9"/>
        <v>1839.096</v>
      </c>
      <c r="J22" s="41">
        <f t="shared" si="10"/>
        <v>5517.2880000000005</v>
      </c>
      <c r="K22" s="41">
        <f>60*8+60*6*2</f>
        <v>1200</v>
      </c>
      <c r="L22" s="42">
        <f>144.73*3</f>
        <v>434.18999999999994</v>
      </c>
      <c r="M22" s="42"/>
      <c r="N22" s="42"/>
      <c r="O22" s="43">
        <f t="shared" si="0"/>
        <v>7024.325000000001</v>
      </c>
      <c r="P22" s="44">
        <f t="shared" si="11"/>
        <v>107663.183</v>
      </c>
      <c r="Q22" s="44">
        <f t="shared" si="15"/>
        <v>40179.139</v>
      </c>
      <c r="R22" s="45">
        <f t="shared" si="1"/>
        <v>94253.67000000001</v>
      </c>
      <c r="S22" s="41"/>
      <c r="T22" s="41"/>
      <c r="U22" s="41"/>
      <c r="V22" s="42"/>
      <c r="W22" s="41"/>
      <c r="X22" s="41"/>
      <c r="Y22" s="44">
        <f t="shared" si="12"/>
        <v>0</v>
      </c>
      <c r="Z22" s="44">
        <f t="shared" si="2"/>
        <v>39540.564000000006</v>
      </c>
      <c r="AA22" s="44"/>
      <c r="AB22" s="44">
        <f t="shared" si="14"/>
        <v>15019.284</v>
      </c>
      <c r="AC22" s="45">
        <f t="shared" si="3"/>
        <v>7154.4400000000005</v>
      </c>
      <c r="AD22" s="42"/>
      <c r="AE22" s="42"/>
      <c r="AF22" s="45"/>
      <c r="AG22" s="44">
        <f t="shared" si="4"/>
        <v>36168.888</v>
      </c>
      <c r="AH22" s="44"/>
      <c r="AI22" s="44">
        <f t="shared" si="13"/>
        <v>339979.168</v>
      </c>
    </row>
    <row r="23" spans="1:35" s="46" customFormat="1" ht="15.75">
      <c r="A23" s="4" t="s">
        <v>4</v>
      </c>
      <c r="B23" s="4" t="s">
        <v>23</v>
      </c>
      <c r="C23" s="4" t="s">
        <v>2</v>
      </c>
      <c r="D23" s="40">
        <v>3490.8</v>
      </c>
      <c r="E23" s="41">
        <f t="shared" si="5"/>
        <v>15080.256000000001</v>
      </c>
      <c r="F23" s="41">
        <f t="shared" si="6"/>
        <v>49848.623999999996</v>
      </c>
      <c r="G23" s="41">
        <f t="shared" si="7"/>
        <v>49429.728</v>
      </c>
      <c r="H23" s="41">
        <f t="shared" si="8"/>
        <v>10891.296</v>
      </c>
      <c r="I23" s="41">
        <f t="shared" si="9"/>
        <v>2513.376</v>
      </c>
      <c r="J23" s="41">
        <f t="shared" si="10"/>
        <v>7540.128000000001</v>
      </c>
      <c r="K23" s="41">
        <f>80*8+80*6*2</f>
        <v>1600</v>
      </c>
      <c r="L23" s="42">
        <f>144.73*3</f>
        <v>434.18999999999994</v>
      </c>
      <c r="M23" s="42"/>
      <c r="N23" s="42"/>
      <c r="O23" s="43">
        <f t="shared" si="0"/>
        <v>9599.7</v>
      </c>
      <c r="P23" s="44">
        <f t="shared" si="11"/>
        <v>146937.29800000004</v>
      </c>
      <c r="Q23" s="44">
        <f t="shared" si="15"/>
        <v>54910.28400000001</v>
      </c>
      <c r="R23" s="45">
        <f t="shared" si="1"/>
        <v>128810.52000000002</v>
      </c>
      <c r="S23" s="41"/>
      <c r="T23" s="41"/>
      <c r="U23" s="41"/>
      <c r="V23" s="42"/>
      <c r="W23" s="41"/>
      <c r="X23" s="41">
        <v>14000</v>
      </c>
      <c r="Y23" s="44">
        <f t="shared" si="12"/>
        <v>14000</v>
      </c>
      <c r="Z23" s="44">
        <f t="shared" si="2"/>
        <v>54037.584</v>
      </c>
      <c r="AA23" s="44"/>
      <c r="AB23" s="44">
        <f t="shared" si="14"/>
        <v>20525.904</v>
      </c>
      <c r="AC23" s="45">
        <f t="shared" si="3"/>
        <v>9776.640000000001</v>
      </c>
      <c r="AD23" s="42"/>
      <c r="AE23" s="42"/>
      <c r="AF23" s="45"/>
      <c r="AG23" s="44">
        <f t="shared" si="4"/>
        <v>49429.728</v>
      </c>
      <c r="AH23" s="44"/>
      <c r="AI23" s="44">
        <f t="shared" si="13"/>
        <v>478427.9580000001</v>
      </c>
    </row>
    <row r="24" spans="1:35" s="46" customFormat="1" ht="15.75">
      <c r="A24" s="4" t="s">
        <v>4</v>
      </c>
      <c r="B24" s="4" t="s">
        <v>24</v>
      </c>
      <c r="C24" s="4" t="s">
        <v>2</v>
      </c>
      <c r="D24" s="40">
        <v>2520.2</v>
      </c>
      <c r="E24" s="41">
        <f t="shared" si="5"/>
        <v>10887.264</v>
      </c>
      <c r="F24" s="41">
        <f t="shared" si="6"/>
        <v>35988.45599999999</v>
      </c>
      <c r="G24" s="41">
        <f t="shared" si="7"/>
        <v>35686.032</v>
      </c>
      <c r="H24" s="41">
        <f t="shared" si="8"/>
        <v>7863.023999999999</v>
      </c>
      <c r="I24" s="41">
        <f t="shared" si="9"/>
        <v>1814.5439999999999</v>
      </c>
      <c r="J24" s="41">
        <f t="shared" si="10"/>
        <v>5443.632</v>
      </c>
      <c r="K24" s="41">
        <f>60*8+60*6*2</f>
        <v>1200</v>
      </c>
      <c r="L24" s="42">
        <f>144.73*3</f>
        <v>434.18999999999994</v>
      </c>
      <c r="M24" s="42"/>
      <c r="N24" s="42"/>
      <c r="O24" s="43">
        <f t="shared" si="0"/>
        <v>6930.549999999999</v>
      </c>
      <c r="P24" s="44">
        <f t="shared" si="11"/>
        <v>106247.69199999998</v>
      </c>
      <c r="Q24" s="44">
        <f t="shared" si="15"/>
        <v>39642.746</v>
      </c>
      <c r="R24" s="45">
        <f t="shared" si="1"/>
        <v>92995.38</v>
      </c>
      <c r="S24" s="41"/>
      <c r="T24" s="41"/>
      <c r="U24" s="41"/>
      <c r="V24" s="42"/>
      <c r="W24" s="41"/>
      <c r="X24" s="41"/>
      <c r="Y24" s="44">
        <f t="shared" si="12"/>
        <v>0</v>
      </c>
      <c r="Z24" s="44">
        <f t="shared" si="2"/>
        <v>39012.695999999996</v>
      </c>
      <c r="AA24" s="44"/>
      <c r="AB24" s="44">
        <f t="shared" si="14"/>
        <v>14818.775999999998</v>
      </c>
      <c r="AC24" s="45">
        <f t="shared" si="3"/>
        <v>7058.959999999999</v>
      </c>
      <c r="AD24" s="42"/>
      <c r="AE24" s="42"/>
      <c r="AF24" s="45"/>
      <c r="AG24" s="44">
        <f t="shared" si="4"/>
        <v>35686.032</v>
      </c>
      <c r="AH24" s="44">
        <v>57500</v>
      </c>
      <c r="AI24" s="44">
        <f t="shared" si="13"/>
        <v>392962.282</v>
      </c>
    </row>
    <row r="25" spans="1:35" s="46" customFormat="1" ht="15.75">
      <c r="A25" s="4" t="s">
        <v>4</v>
      </c>
      <c r="B25" s="4" t="s">
        <v>25</v>
      </c>
      <c r="C25" s="4" t="s">
        <v>2</v>
      </c>
      <c r="D25" s="40">
        <v>1275.5</v>
      </c>
      <c r="E25" s="41">
        <f t="shared" si="5"/>
        <v>5510.16</v>
      </c>
      <c r="F25" s="41">
        <f t="shared" si="6"/>
        <v>18214.14</v>
      </c>
      <c r="G25" s="41">
        <f t="shared" si="7"/>
        <v>18061.079999999998</v>
      </c>
      <c r="H25" s="41">
        <f t="shared" si="8"/>
        <v>3979.56</v>
      </c>
      <c r="I25" s="41">
        <f t="shared" si="9"/>
        <v>918.36</v>
      </c>
      <c r="J25" s="41">
        <f t="shared" si="10"/>
        <v>2755.08</v>
      </c>
      <c r="K25" s="41">
        <f>32*8*4+32*6*2</f>
        <v>1408</v>
      </c>
      <c r="L25" s="42"/>
      <c r="M25" s="42"/>
      <c r="N25" s="42"/>
      <c r="O25" s="43">
        <f t="shared" si="0"/>
        <v>3507.6250000000005</v>
      </c>
      <c r="P25" s="44">
        <f t="shared" si="11"/>
        <v>54354.005</v>
      </c>
      <c r="Q25" s="44">
        <f t="shared" si="15"/>
        <v>20063.615</v>
      </c>
      <c r="R25" s="45">
        <f t="shared" si="1"/>
        <v>47065.95</v>
      </c>
      <c r="S25" s="41"/>
      <c r="T25" s="41"/>
      <c r="U25" s="41"/>
      <c r="V25" s="42"/>
      <c r="W25" s="41"/>
      <c r="X25" s="41"/>
      <c r="Y25" s="44">
        <f t="shared" si="12"/>
        <v>0</v>
      </c>
      <c r="Z25" s="44">
        <f t="shared" si="2"/>
        <v>19744.739999999998</v>
      </c>
      <c r="AA25" s="44"/>
      <c r="AB25" s="44">
        <f t="shared" si="14"/>
        <v>7499.9400000000005</v>
      </c>
      <c r="AC25" s="45">
        <f t="shared" si="3"/>
        <v>3573.8000000000006</v>
      </c>
      <c r="AD25" s="42"/>
      <c r="AE25" s="42"/>
      <c r="AF25" s="45"/>
      <c r="AG25" s="44">
        <f t="shared" si="4"/>
        <v>18061.079999999998</v>
      </c>
      <c r="AH25" s="44"/>
      <c r="AI25" s="44">
        <f t="shared" si="13"/>
        <v>170363.12999999998</v>
      </c>
    </row>
    <row r="26" spans="1:35" s="46" customFormat="1" ht="15.75">
      <c r="A26" s="4" t="s">
        <v>4</v>
      </c>
      <c r="B26" s="4" t="s">
        <v>26</v>
      </c>
      <c r="C26" s="4" t="s">
        <v>2</v>
      </c>
      <c r="D26" s="40">
        <v>1162.3</v>
      </c>
      <c r="E26" s="41">
        <f t="shared" si="5"/>
        <v>5021.1359999999995</v>
      </c>
      <c r="F26" s="41">
        <f t="shared" si="6"/>
        <v>16597.644</v>
      </c>
      <c r="G26" s="41">
        <f t="shared" si="7"/>
        <v>16458.167999999998</v>
      </c>
      <c r="H26" s="41">
        <f t="shared" si="8"/>
        <v>3626.3759999999997</v>
      </c>
      <c r="I26" s="41">
        <f t="shared" si="9"/>
        <v>836.856</v>
      </c>
      <c r="J26" s="41">
        <f t="shared" si="10"/>
        <v>2510.5679999999998</v>
      </c>
      <c r="K26" s="41">
        <f>18*8*4+18*6*2</f>
        <v>792</v>
      </c>
      <c r="L26" s="42"/>
      <c r="M26" s="42"/>
      <c r="N26" s="42"/>
      <c r="O26" s="43">
        <f t="shared" si="0"/>
        <v>3196.325</v>
      </c>
      <c r="P26" s="44">
        <f t="shared" si="11"/>
        <v>49039.07299999999</v>
      </c>
      <c r="Q26" s="44"/>
      <c r="R26" s="45">
        <f t="shared" si="1"/>
        <v>42888.869999999995</v>
      </c>
      <c r="S26" s="41"/>
      <c r="T26" s="41"/>
      <c r="U26" s="41">
        <v>1160</v>
      </c>
      <c r="V26" s="41">
        <f>198*150</f>
        <v>29700</v>
      </c>
      <c r="W26" s="41"/>
      <c r="X26" s="41"/>
      <c r="Y26" s="44">
        <f t="shared" si="12"/>
        <v>30860</v>
      </c>
      <c r="Z26" s="44">
        <f t="shared" si="2"/>
        <v>17992.404</v>
      </c>
      <c r="AA26" s="44"/>
      <c r="AB26" s="44"/>
      <c r="AC26" s="45">
        <f t="shared" si="3"/>
        <v>3256.84</v>
      </c>
      <c r="AD26" s="42"/>
      <c r="AE26" s="42"/>
      <c r="AF26" s="45"/>
      <c r="AG26" s="44">
        <f t="shared" si="4"/>
        <v>16458.167999999998</v>
      </c>
      <c r="AH26" s="44"/>
      <c r="AI26" s="44">
        <f t="shared" si="13"/>
        <v>160495.35499999998</v>
      </c>
    </row>
    <row r="27" spans="1:35" s="46" customFormat="1" ht="15.75">
      <c r="A27" s="4" t="s">
        <v>4</v>
      </c>
      <c r="B27" s="4" t="s">
        <v>27</v>
      </c>
      <c r="C27" s="4" t="s">
        <v>2</v>
      </c>
      <c r="D27" s="40">
        <v>939.8</v>
      </c>
      <c r="E27" s="41">
        <f t="shared" si="5"/>
        <v>4059.9359999999997</v>
      </c>
      <c r="F27" s="41">
        <f t="shared" si="6"/>
        <v>13420.343999999997</v>
      </c>
      <c r="G27" s="41">
        <f t="shared" si="7"/>
        <v>13307.568</v>
      </c>
      <c r="H27" s="41">
        <f t="shared" si="8"/>
        <v>2932.176</v>
      </c>
      <c r="I27" s="41">
        <f t="shared" si="9"/>
        <v>676.656</v>
      </c>
      <c r="J27" s="41">
        <f t="shared" si="10"/>
        <v>2029.9679999999998</v>
      </c>
      <c r="K27" s="41">
        <f>24*8*4+24*6*2</f>
        <v>1056</v>
      </c>
      <c r="L27" s="42">
        <f>144.73*30</f>
        <v>4341.9</v>
      </c>
      <c r="M27" s="42"/>
      <c r="N27" s="42"/>
      <c r="O27" s="43">
        <f t="shared" si="0"/>
        <v>2584.45</v>
      </c>
      <c r="P27" s="44">
        <f t="shared" si="11"/>
        <v>44408.998</v>
      </c>
      <c r="Q27" s="44"/>
      <c r="R27" s="45">
        <f t="shared" si="1"/>
        <v>34678.619999999995</v>
      </c>
      <c r="S27" s="41"/>
      <c r="T27" s="41"/>
      <c r="U27" s="41"/>
      <c r="V27" s="41"/>
      <c r="W27" s="41">
        <f>3*220</f>
        <v>660</v>
      </c>
      <c r="X27" s="41"/>
      <c r="Y27" s="44">
        <f t="shared" si="12"/>
        <v>660</v>
      </c>
      <c r="Z27" s="44">
        <f t="shared" si="2"/>
        <v>14548.104</v>
      </c>
      <c r="AA27" s="44"/>
      <c r="AB27" s="44">
        <f>D27*0.49*12</f>
        <v>5526.023999999999</v>
      </c>
      <c r="AC27" s="45">
        <f t="shared" si="3"/>
        <v>2633.84</v>
      </c>
      <c r="AD27" s="42"/>
      <c r="AE27" s="42"/>
      <c r="AF27" s="45"/>
      <c r="AG27" s="44">
        <f t="shared" si="4"/>
        <v>13307.568</v>
      </c>
      <c r="AH27" s="44"/>
      <c r="AI27" s="44">
        <f t="shared" si="13"/>
        <v>115763.15399999998</v>
      </c>
    </row>
    <row r="28" spans="1:35" s="46" customFormat="1" ht="15.75">
      <c r="A28" s="4" t="s">
        <v>4</v>
      </c>
      <c r="B28" s="4" t="s">
        <v>28</v>
      </c>
      <c r="C28" s="4" t="s">
        <v>2</v>
      </c>
      <c r="D28" s="40">
        <v>3546.1</v>
      </c>
      <c r="E28" s="41">
        <f t="shared" si="5"/>
        <v>15319.152</v>
      </c>
      <c r="F28" s="41">
        <f t="shared" si="6"/>
        <v>50638.30799999999</v>
      </c>
      <c r="G28" s="41">
        <f t="shared" si="7"/>
        <v>50212.77599999999</v>
      </c>
      <c r="H28" s="41">
        <f t="shared" si="8"/>
        <v>11063.832</v>
      </c>
      <c r="I28" s="41">
        <f t="shared" si="9"/>
        <v>2553.192</v>
      </c>
      <c r="J28" s="41">
        <f t="shared" si="10"/>
        <v>7659.576</v>
      </c>
      <c r="K28" s="41">
        <f>80*6*2</f>
        <v>960</v>
      </c>
      <c r="L28" s="42">
        <f>144.73*3</f>
        <v>434.18999999999994</v>
      </c>
      <c r="M28" s="42"/>
      <c r="N28" s="42"/>
      <c r="O28" s="43">
        <f t="shared" si="0"/>
        <v>9751.775</v>
      </c>
      <c r="P28" s="44">
        <f t="shared" si="11"/>
        <v>148592.80099999995</v>
      </c>
      <c r="Q28" s="44">
        <f>D28*1.27*5+D28*1.34*7</f>
        <v>55780.153000000006</v>
      </c>
      <c r="R28" s="45">
        <f t="shared" si="1"/>
        <v>130851.09</v>
      </c>
      <c r="S28" s="41"/>
      <c r="T28" s="41"/>
      <c r="U28" s="41"/>
      <c r="V28" s="41"/>
      <c r="W28" s="41"/>
      <c r="X28" s="41"/>
      <c r="Y28" s="44">
        <f t="shared" si="12"/>
        <v>0</v>
      </c>
      <c r="Z28" s="44">
        <f t="shared" si="2"/>
        <v>54893.628</v>
      </c>
      <c r="AA28" s="44"/>
      <c r="AB28" s="44">
        <f>D28*0.49*12</f>
        <v>20851.068</v>
      </c>
      <c r="AC28" s="45">
        <f t="shared" si="3"/>
        <v>9931.48</v>
      </c>
      <c r="AD28" s="42"/>
      <c r="AE28" s="42"/>
      <c r="AF28" s="45"/>
      <c r="AG28" s="44">
        <f t="shared" si="4"/>
        <v>50212.77599999999</v>
      </c>
      <c r="AH28" s="44">
        <v>57500</v>
      </c>
      <c r="AI28" s="44">
        <f t="shared" si="13"/>
        <v>528612.996</v>
      </c>
    </row>
    <row r="29" spans="1:35" s="46" customFormat="1" ht="15.75">
      <c r="A29" s="4" t="s">
        <v>4</v>
      </c>
      <c r="B29" s="4" t="s">
        <v>3</v>
      </c>
      <c r="C29" s="4" t="s">
        <v>2</v>
      </c>
      <c r="D29" s="40">
        <v>596.4</v>
      </c>
      <c r="E29" s="41">
        <f t="shared" si="5"/>
        <v>2576.448</v>
      </c>
      <c r="F29" s="41">
        <f t="shared" si="6"/>
        <v>8516.591999999999</v>
      </c>
      <c r="G29" s="41">
        <f t="shared" si="7"/>
        <v>8445.024</v>
      </c>
      <c r="H29" s="41">
        <f t="shared" si="8"/>
        <v>1860.768</v>
      </c>
      <c r="I29" s="41">
        <f t="shared" si="9"/>
        <v>429.408</v>
      </c>
      <c r="J29" s="41">
        <f t="shared" si="10"/>
        <v>1288.224</v>
      </c>
      <c r="K29" s="41">
        <f>12*4*8+12*6+12*6</f>
        <v>528</v>
      </c>
      <c r="L29" s="42">
        <f>144.73*18</f>
        <v>2605.14</v>
      </c>
      <c r="M29" s="42"/>
      <c r="N29" s="42">
        <f>596*20.77</f>
        <v>12378.92</v>
      </c>
      <c r="O29" s="43">
        <f t="shared" si="0"/>
        <v>1640.1000000000001</v>
      </c>
      <c r="P29" s="44">
        <f t="shared" si="11"/>
        <v>40268.623999999996</v>
      </c>
      <c r="Q29" s="44"/>
      <c r="R29" s="45">
        <f t="shared" si="1"/>
        <v>22007.159999999996</v>
      </c>
      <c r="S29" s="41"/>
      <c r="T29" s="41"/>
      <c r="U29" s="41"/>
      <c r="V29" s="41">
        <f>114*150</f>
        <v>17100</v>
      </c>
      <c r="W29" s="41"/>
      <c r="X29" s="41"/>
      <c r="Y29" s="44">
        <f t="shared" si="12"/>
        <v>17100</v>
      </c>
      <c r="Z29" s="44">
        <f t="shared" si="2"/>
        <v>9232.272</v>
      </c>
      <c r="AA29" s="44"/>
      <c r="AB29" s="44"/>
      <c r="AC29" s="45">
        <f t="shared" si="3"/>
        <v>1672.3200000000002</v>
      </c>
      <c r="AD29" s="42"/>
      <c r="AE29" s="42"/>
      <c r="AF29" s="45"/>
      <c r="AG29" s="44">
        <f t="shared" si="4"/>
        <v>8445.024</v>
      </c>
      <c r="AH29" s="44">
        <v>57500</v>
      </c>
      <c r="AI29" s="44">
        <f t="shared" si="13"/>
        <v>156225.4</v>
      </c>
    </row>
    <row r="30" spans="1:35" s="46" customFormat="1" ht="15.75">
      <c r="A30" s="4" t="s">
        <v>4</v>
      </c>
      <c r="B30" s="4" t="s">
        <v>29</v>
      </c>
      <c r="C30" s="4" t="s">
        <v>2</v>
      </c>
      <c r="D30" s="40">
        <v>984.7</v>
      </c>
      <c r="E30" s="41">
        <f t="shared" si="5"/>
        <v>4253.904</v>
      </c>
      <c r="F30" s="41">
        <f t="shared" si="6"/>
        <v>14061.516</v>
      </c>
      <c r="G30" s="41">
        <f t="shared" si="7"/>
        <v>13943.351999999999</v>
      </c>
      <c r="H30" s="41">
        <f t="shared" si="8"/>
        <v>3072.2640000000006</v>
      </c>
      <c r="I30" s="41">
        <f t="shared" si="9"/>
        <v>708.984</v>
      </c>
      <c r="J30" s="41">
        <f t="shared" si="10"/>
        <v>2126.952</v>
      </c>
      <c r="K30" s="41">
        <f>18*6*2</f>
        <v>216</v>
      </c>
      <c r="L30" s="42">
        <f>22*144.73</f>
        <v>3184.06</v>
      </c>
      <c r="M30" s="42"/>
      <c r="N30" s="42">
        <f>719*20.77</f>
        <v>14933.63</v>
      </c>
      <c r="O30" s="43">
        <f t="shared" si="0"/>
        <v>2707.925</v>
      </c>
      <c r="P30" s="44">
        <f t="shared" si="11"/>
        <v>59208.58699999999</v>
      </c>
      <c r="Q30" s="44"/>
      <c r="R30" s="45">
        <f t="shared" si="1"/>
        <v>36335.43000000001</v>
      </c>
      <c r="S30" s="41">
        <v>91000</v>
      </c>
      <c r="T30" s="41"/>
      <c r="U30" s="41"/>
      <c r="V30" s="41"/>
      <c r="W30" s="41"/>
      <c r="X30" s="41"/>
      <c r="Y30" s="44">
        <f t="shared" si="12"/>
        <v>91000</v>
      </c>
      <c r="Z30" s="44">
        <f t="shared" si="2"/>
        <v>15243.156000000003</v>
      </c>
      <c r="AA30" s="44"/>
      <c r="AB30" s="44"/>
      <c r="AC30" s="45">
        <f t="shared" si="3"/>
        <v>2759.5600000000004</v>
      </c>
      <c r="AD30" s="42"/>
      <c r="AE30" s="42"/>
      <c r="AF30" s="45"/>
      <c r="AG30" s="44">
        <f t="shared" si="4"/>
        <v>13943.351999999999</v>
      </c>
      <c r="AH30" s="44">
        <v>57500</v>
      </c>
      <c r="AI30" s="44">
        <f t="shared" si="13"/>
        <v>275990.085</v>
      </c>
    </row>
    <row r="31" spans="1:35" s="46" customFormat="1" ht="15.75">
      <c r="A31" s="4" t="s">
        <v>30</v>
      </c>
      <c r="B31" s="4" t="s">
        <v>31</v>
      </c>
      <c r="C31" s="4" t="s">
        <v>2</v>
      </c>
      <c r="D31" s="47">
        <v>2794.4</v>
      </c>
      <c r="E31" s="41">
        <f t="shared" si="5"/>
        <v>12071.808</v>
      </c>
      <c r="F31" s="41">
        <f t="shared" si="6"/>
        <v>39904.032</v>
      </c>
      <c r="G31" s="41">
        <f t="shared" si="7"/>
        <v>39568.704</v>
      </c>
      <c r="H31" s="41">
        <f t="shared" si="8"/>
        <v>8718.528000000002</v>
      </c>
      <c r="I31" s="41">
        <f t="shared" si="9"/>
        <v>2011.9679999999998</v>
      </c>
      <c r="J31" s="41">
        <f t="shared" si="10"/>
        <v>6035.904</v>
      </c>
      <c r="K31" s="41">
        <f>60*6*2</f>
        <v>720</v>
      </c>
      <c r="L31" s="42">
        <f>144.73*70</f>
        <v>10131.099999999999</v>
      </c>
      <c r="M31" s="42"/>
      <c r="N31" s="42"/>
      <c r="O31" s="43">
        <f t="shared" si="0"/>
        <v>7684.6</v>
      </c>
      <c r="P31" s="44">
        <f t="shared" si="11"/>
        <v>126846.644</v>
      </c>
      <c r="Q31" s="44">
        <f>D31*1.27*5+D31*1.34*7</f>
        <v>43955.91200000001</v>
      </c>
      <c r="R31" s="45">
        <f t="shared" si="1"/>
        <v>103113.36000000002</v>
      </c>
      <c r="S31" s="41"/>
      <c r="T31" s="41"/>
      <c r="U31" s="41"/>
      <c r="V31" s="41"/>
      <c r="W31" s="41"/>
      <c r="X31" s="41"/>
      <c r="Y31" s="44">
        <f t="shared" si="12"/>
        <v>0</v>
      </c>
      <c r="Z31" s="44">
        <f t="shared" si="2"/>
        <v>43257.312000000005</v>
      </c>
      <c r="AA31" s="44"/>
      <c r="AB31" s="44">
        <f aca="true" t="shared" si="16" ref="AB31:AB94">D31*0.49*12</f>
        <v>16431.072</v>
      </c>
      <c r="AC31" s="45">
        <f t="shared" si="3"/>
        <v>7826.719999999999</v>
      </c>
      <c r="AD31" s="42"/>
      <c r="AE31" s="42"/>
      <c r="AF31" s="45"/>
      <c r="AG31" s="44">
        <f t="shared" si="4"/>
        <v>39568.704</v>
      </c>
      <c r="AH31" s="44"/>
      <c r="AI31" s="44">
        <f t="shared" si="13"/>
        <v>380999.72399999993</v>
      </c>
    </row>
    <row r="32" spans="1:35" ht="15.75">
      <c r="A32" s="3" t="s">
        <v>30</v>
      </c>
      <c r="B32" s="4" t="s">
        <v>32</v>
      </c>
      <c r="C32" s="3" t="s">
        <v>2</v>
      </c>
      <c r="D32" s="27">
        <v>4357.9</v>
      </c>
      <c r="E32" s="19">
        <f t="shared" si="5"/>
        <v>18826.127999999997</v>
      </c>
      <c r="F32" s="19">
        <f t="shared" si="6"/>
        <v>62230.81199999999</v>
      </c>
      <c r="G32" s="19">
        <f t="shared" si="7"/>
        <v>61707.86399999999</v>
      </c>
      <c r="H32" s="19">
        <f t="shared" si="8"/>
        <v>13596.647999999997</v>
      </c>
      <c r="I32" s="19">
        <f t="shared" si="9"/>
        <v>3137.688</v>
      </c>
      <c r="J32" s="19">
        <f t="shared" si="10"/>
        <v>9413.063999999998</v>
      </c>
      <c r="K32" s="19">
        <f>88*6*2</f>
        <v>1056</v>
      </c>
      <c r="L32" s="8">
        <f>144.73*100</f>
        <v>14472.999999999998</v>
      </c>
      <c r="M32" s="8"/>
      <c r="N32" s="8"/>
      <c r="O32" s="24">
        <f t="shared" si="0"/>
        <v>11984.224999999999</v>
      </c>
      <c r="P32" s="32">
        <f t="shared" si="11"/>
        <v>196425.42899999997</v>
      </c>
      <c r="Q32" s="32">
        <f>D32*1.27*5+D32*1.34*7</f>
        <v>68549.76699999999</v>
      </c>
      <c r="R32" s="34">
        <f t="shared" si="1"/>
        <v>160806.51</v>
      </c>
      <c r="S32" s="19"/>
      <c r="T32" s="19"/>
      <c r="U32" s="19"/>
      <c r="V32" s="19"/>
      <c r="W32" s="19"/>
      <c r="X32" s="19"/>
      <c r="Y32" s="32">
        <f t="shared" si="12"/>
        <v>0</v>
      </c>
      <c r="Z32" s="32">
        <f t="shared" si="2"/>
        <v>67460.292</v>
      </c>
      <c r="AA32" s="32"/>
      <c r="AB32" s="32">
        <f t="shared" si="16"/>
        <v>25624.451999999997</v>
      </c>
      <c r="AC32" s="34">
        <f t="shared" si="3"/>
        <v>12204.519999999999</v>
      </c>
      <c r="AD32" s="8">
        <v>28237.66</v>
      </c>
      <c r="AE32" s="8">
        <v>1737.94</v>
      </c>
      <c r="AF32" s="34"/>
      <c r="AG32" s="32">
        <f t="shared" si="4"/>
        <v>61707.86399999999</v>
      </c>
      <c r="AH32" s="32"/>
      <c r="AI32" s="32">
        <f t="shared" si="13"/>
        <v>592778.8339999999</v>
      </c>
    </row>
    <row r="33" spans="1:35" ht="15.75">
      <c r="A33" s="3" t="s">
        <v>30</v>
      </c>
      <c r="B33" s="4" t="s">
        <v>6</v>
      </c>
      <c r="C33" s="3" t="s">
        <v>2</v>
      </c>
      <c r="D33" s="27">
        <v>2652</v>
      </c>
      <c r="E33" s="19">
        <f t="shared" si="5"/>
        <v>11456.64</v>
      </c>
      <c r="F33" s="19">
        <f t="shared" si="6"/>
        <v>37870.56</v>
      </c>
      <c r="G33" s="19">
        <f t="shared" si="7"/>
        <v>37552.31999999999</v>
      </c>
      <c r="H33" s="19">
        <f t="shared" si="8"/>
        <v>8274.24</v>
      </c>
      <c r="I33" s="19">
        <f t="shared" si="9"/>
        <v>1909.44</v>
      </c>
      <c r="J33" s="19">
        <f t="shared" si="10"/>
        <v>5728.32</v>
      </c>
      <c r="K33" s="19">
        <f>58*6*2</f>
        <v>696</v>
      </c>
      <c r="L33" s="8">
        <f>144.73*68</f>
        <v>9841.64</v>
      </c>
      <c r="M33" s="8"/>
      <c r="N33" s="8"/>
      <c r="O33" s="24">
        <f t="shared" si="0"/>
        <v>7293.000000000001</v>
      </c>
      <c r="P33" s="32">
        <f t="shared" si="11"/>
        <v>120622.15999999999</v>
      </c>
      <c r="Q33" s="32">
        <f>D33*1.27*5+D33*1.34*7</f>
        <v>41715.96000000001</v>
      </c>
      <c r="R33" s="34">
        <f t="shared" si="1"/>
        <v>97858.8</v>
      </c>
      <c r="S33" s="19"/>
      <c r="T33" s="19"/>
      <c r="U33" s="19"/>
      <c r="V33" s="19"/>
      <c r="W33" s="19"/>
      <c r="X33" s="19"/>
      <c r="Y33" s="32">
        <f t="shared" si="12"/>
        <v>0</v>
      </c>
      <c r="Z33" s="32">
        <f t="shared" si="2"/>
        <v>41052.96</v>
      </c>
      <c r="AA33" s="32"/>
      <c r="AB33" s="32">
        <f t="shared" si="16"/>
        <v>15593.76</v>
      </c>
      <c r="AC33" s="34">
        <f t="shared" si="3"/>
        <v>7427.999999999999</v>
      </c>
      <c r="AD33" s="8"/>
      <c r="AE33" s="8"/>
      <c r="AF33" s="34"/>
      <c r="AG33" s="32">
        <f t="shared" si="4"/>
        <v>37552.31999999999</v>
      </c>
      <c r="AH33" s="32"/>
      <c r="AI33" s="32">
        <f t="shared" si="13"/>
        <v>361823.96</v>
      </c>
    </row>
    <row r="34" spans="1:35" ht="15.75">
      <c r="A34" s="3" t="s">
        <v>33</v>
      </c>
      <c r="B34" s="4" t="s">
        <v>34</v>
      </c>
      <c r="C34" s="3" t="s">
        <v>2</v>
      </c>
      <c r="D34" s="26">
        <v>1023.3</v>
      </c>
      <c r="E34" s="19">
        <f t="shared" si="5"/>
        <v>4420.656</v>
      </c>
      <c r="F34" s="19">
        <f t="shared" si="6"/>
        <v>14612.723999999998</v>
      </c>
      <c r="G34" s="19">
        <f t="shared" si="7"/>
        <v>14489.928</v>
      </c>
      <c r="H34" s="19">
        <f t="shared" si="8"/>
        <v>3192.696</v>
      </c>
      <c r="I34" s="19">
        <f t="shared" si="9"/>
        <v>736.776</v>
      </c>
      <c r="J34" s="19">
        <f t="shared" si="10"/>
        <v>2210.328</v>
      </c>
      <c r="K34" s="19">
        <f>9*6*2</f>
        <v>108</v>
      </c>
      <c r="L34" s="8">
        <f>144.73*15</f>
        <v>2170.95</v>
      </c>
      <c r="M34" s="8"/>
      <c r="N34" s="8"/>
      <c r="O34" s="24">
        <f t="shared" si="0"/>
        <v>2814.0750000000003</v>
      </c>
      <c r="P34" s="32">
        <f t="shared" si="11"/>
        <v>44756.132999999994</v>
      </c>
      <c r="Q34" s="32"/>
      <c r="R34" s="34">
        <f t="shared" si="1"/>
        <v>37759.77</v>
      </c>
      <c r="S34" s="19">
        <f>967*80</f>
        <v>77360</v>
      </c>
      <c r="T34" s="19"/>
      <c r="U34" s="19"/>
      <c r="V34" s="19"/>
      <c r="W34" s="19"/>
      <c r="X34" s="19"/>
      <c r="Y34" s="32">
        <f t="shared" si="12"/>
        <v>77360</v>
      </c>
      <c r="Z34" s="32">
        <f t="shared" si="2"/>
        <v>15840.684000000001</v>
      </c>
      <c r="AA34" s="32"/>
      <c r="AB34" s="32">
        <f t="shared" si="16"/>
        <v>6017.004</v>
      </c>
      <c r="AC34" s="34">
        <f t="shared" si="3"/>
        <v>2867.64</v>
      </c>
      <c r="AD34" s="8"/>
      <c r="AE34" s="8"/>
      <c r="AF34" s="34"/>
      <c r="AG34" s="32">
        <f t="shared" si="4"/>
        <v>14489.928</v>
      </c>
      <c r="AH34" s="32"/>
      <c r="AI34" s="32">
        <f t="shared" si="13"/>
        <v>199091.15899999999</v>
      </c>
    </row>
    <row r="35" spans="1:35" ht="15.75">
      <c r="A35" s="3" t="s">
        <v>33</v>
      </c>
      <c r="B35" s="4" t="s">
        <v>32</v>
      </c>
      <c r="C35" s="3" t="s">
        <v>2</v>
      </c>
      <c r="D35" s="26">
        <v>610.3</v>
      </c>
      <c r="E35" s="19">
        <f t="shared" si="5"/>
        <v>2636.4959999999996</v>
      </c>
      <c r="F35" s="19">
        <f t="shared" si="6"/>
        <v>8715.083999999999</v>
      </c>
      <c r="G35" s="19">
        <f t="shared" si="7"/>
        <v>8641.847999999998</v>
      </c>
      <c r="H35" s="19">
        <f t="shared" si="8"/>
        <v>1904.136</v>
      </c>
      <c r="I35" s="19">
        <f t="shared" si="9"/>
        <v>439.41599999999994</v>
      </c>
      <c r="J35" s="19">
        <f t="shared" si="10"/>
        <v>1318.2479999999998</v>
      </c>
      <c r="K35" s="19">
        <f>6*6*2</f>
        <v>72</v>
      </c>
      <c r="L35" s="8"/>
      <c r="M35" s="8"/>
      <c r="N35" s="8"/>
      <c r="O35" s="24">
        <f t="shared" si="0"/>
        <v>1678.325</v>
      </c>
      <c r="P35" s="32">
        <f t="shared" si="11"/>
        <v>25405.552999999996</v>
      </c>
      <c r="Q35" s="32"/>
      <c r="R35" s="34">
        <f t="shared" si="1"/>
        <v>22520.07</v>
      </c>
      <c r="S35" s="19"/>
      <c r="T35" s="19"/>
      <c r="U35" s="19"/>
      <c r="V35" s="19"/>
      <c r="W35" s="19"/>
      <c r="X35" s="19"/>
      <c r="Y35" s="32">
        <f t="shared" si="12"/>
        <v>0</v>
      </c>
      <c r="Z35" s="32">
        <f t="shared" si="2"/>
        <v>9447.444</v>
      </c>
      <c r="AA35" s="32"/>
      <c r="AB35" s="32">
        <f t="shared" si="16"/>
        <v>3588.5639999999994</v>
      </c>
      <c r="AC35" s="34">
        <f t="shared" si="3"/>
        <v>1711.2400000000002</v>
      </c>
      <c r="AD35" s="8"/>
      <c r="AE35" s="8"/>
      <c r="AF35" s="34"/>
      <c r="AG35" s="32">
        <f t="shared" si="4"/>
        <v>8641.847999999998</v>
      </c>
      <c r="AH35" s="32">
        <v>57500</v>
      </c>
      <c r="AI35" s="32">
        <f t="shared" si="13"/>
        <v>128814.71899999998</v>
      </c>
    </row>
    <row r="36" spans="1:35" ht="15.75">
      <c r="A36" s="3" t="s">
        <v>33</v>
      </c>
      <c r="B36" s="4" t="s">
        <v>35</v>
      </c>
      <c r="C36" s="3" t="s">
        <v>2</v>
      </c>
      <c r="D36" s="26">
        <v>1025.2</v>
      </c>
      <c r="E36" s="19">
        <f t="shared" si="5"/>
        <v>4428.864</v>
      </c>
      <c r="F36" s="19">
        <f t="shared" si="6"/>
        <v>14639.856</v>
      </c>
      <c r="G36" s="19">
        <f t="shared" si="7"/>
        <v>14516.831999999999</v>
      </c>
      <c r="H36" s="19">
        <f t="shared" si="8"/>
        <v>3198.6240000000003</v>
      </c>
      <c r="I36" s="19">
        <f t="shared" si="9"/>
        <v>738.144</v>
      </c>
      <c r="J36" s="19">
        <f t="shared" si="10"/>
        <v>2214.432</v>
      </c>
      <c r="K36" s="19">
        <f>8*6*2</f>
        <v>96</v>
      </c>
      <c r="L36" s="8">
        <f>144.73*14</f>
        <v>2026.2199999999998</v>
      </c>
      <c r="M36" s="8"/>
      <c r="N36" s="8"/>
      <c r="O36" s="24">
        <f t="shared" si="0"/>
        <v>2819.3000000000006</v>
      </c>
      <c r="P36" s="32">
        <f t="shared" si="11"/>
        <v>44678.272000000004</v>
      </c>
      <c r="Q36" s="32"/>
      <c r="R36" s="34">
        <f t="shared" si="1"/>
        <v>37829.880000000005</v>
      </c>
      <c r="S36" s="19"/>
      <c r="T36" s="19"/>
      <c r="U36" s="19"/>
      <c r="V36" s="19"/>
      <c r="W36" s="19"/>
      <c r="X36" s="19"/>
      <c r="Y36" s="32">
        <f t="shared" si="12"/>
        <v>0</v>
      </c>
      <c r="Z36" s="32">
        <f t="shared" si="2"/>
        <v>15870.096000000001</v>
      </c>
      <c r="AA36" s="32"/>
      <c r="AB36" s="32">
        <f t="shared" si="16"/>
        <v>6028.176</v>
      </c>
      <c r="AC36" s="34">
        <f t="shared" si="3"/>
        <v>2872.9600000000005</v>
      </c>
      <c r="AD36" s="8"/>
      <c r="AE36" s="8"/>
      <c r="AF36" s="34"/>
      <c r="AG36" s="32">
        <f t="shared" si="4"/>
        <v>14516.831999999999</v>
      </c>
      <c r="AH36" s="32">
        <v>57500</v>
      </c>
      <c r="AI36" s="32">
        <f t="shared" si="13"/>
        <v>179296.21600000001</v>
      </c>
    </row>
    <row r="37" spans="1:35" ht="15.75">
      <c r="A37" s="3" t="s">
        <v>33</v>
      </c>
      <c r="B37" s="4" t="s">
        <v>36</v>
      </c>
      <c r="C37" s="3" t="s">
        <v>2</v>
      </c>
      <c r="D37" s="26">
        <v>1032.3</v>
      </c>
      <c r="E37" s="19">
        <f t="shared" si="5"/>
        <v>4459.536</v>
      </c>
      <c r="F37" s="19">
        <f t="shared" si="6"/>
        <v>14741.243999999999</v>
      </c>
      <c r="G37" s="19">
        <f t="shared" si="7"/>
        <v>14617.367999999999</v>
      </c>
      <c r="H37" s="19">
        <f t="shared" si="8"/>
        <v>3220.7760000000003</v>
      </c>
      <c r="I37" s="19">
        <f t="shared" si="9"/>
        <v>743.256</v>
      </c>
      <c r="J37" s="19">
        <f t="shared" si="10"/>
        <v>2229.768</v>
      </c>
      <c r="K37" s="19">
        <f>8*8*4+8*6*2</f>
        <v>352</v>
      </c>
      <c r="L37" s="8">
        <f>144.73*14</f>
        <v>2026.2199999999998</v>
      </c>
      <c r="M37" s="8"/>
      <c r="N37" s="8"/>
      <c r="O37" s="24">
        <f t="shared" si="0"/>
        <v>2838.825</v>
      </c>
      <c r="P37" s="32">
        <f t="shared" si="11"/>
        <v>45228.993</v>
      </c>
      <c r="Q37" s="32"/>
      <c r="R37" s="34">
        <f t="shared" si="1"/>
        <v>38091.869999999995</v>
      </c>
      <c r="S37" s="19">
        <f>824*80</f>
        <v>65920</v>
      </c>
      <c r="T37" s="19"/>
      <c r="U37" s="19"/>
      <c r="V37" s="19"/>
      <c r="W37" s="19"/>
      <c r="X37" s="19"/>
      <c r="Y37" s="32">
        <f t="shared" si="12"/>
        <v>65920</v>
      </c>
      <c r="Z37" s="32">
        <f t="shared" si="2"/>
        <v>15980.003999999999</v>
      </c>
      <c r="AA37" s="32"/>
      <c r="AB37" s="32">
        <f t="shared" si="16"/>
        <v>6069.923999999999</v>
      </c>
      <c r="AC37" s="34">
        <f t="shared" si="3"/>
        <v>2892.84</v>
      </c>
      <c r="AD37" s="8"/>
      <c r="AE37" s="8"/>
      <c r="AF37" s="34"/>
      <c r="AG37" s="32">
        <f t="shared" si="4"/>
        <v>14617.367999999999</v>
      </c>
      <c r="AH37" s="32">
        <v>57500</v>
      </c>
      <c r="AI37" s="32">
        <f t="shared" si="13"/>
        <v>246300.99899999998</v>
      </c>
    </row>
    <row r="38" spans="1:35" ht="15.75">
      <c r="A38" s="3" t="s">
        <v>33</v>
      </c>
      <c r="B38" s="4" t="s">
        <v>37</v>
      </c>
      <c r="C38" s="3" t="s">
        <v>2</v>
      </c>
      <c r="D38" s="26">
        <v>832.3</v>
      </c>
      <c r="E38" s="19">
        <f t="shared" si="5"/>
        <v>3595.536</v>
      </c>
      <c r="F38" s="19">
        <f t="shared" si="6"/>
        <v>11885.243999999999</v>
      </c>
      <c r="G38" s="19">
        <f t="shared" si="7"/>
        <v>11785.367999999999</v>
      </c>
      <c r="H38" s="19">
        <f t="shared" si="8"/>
        <v>2596.776</v>
      </c>
      <c r="I38" s="19">
        <f t="shared" si="9"/>
        <v>599.256</v>
      </c>
      <c r="J38" s="19">
        <f t="shared" si="10"/>
        <v>1797.768</v>
      </c>
      <c r="K38" s="19">
        <f>24*8*4+24*6*2</f>
        <v>1056</v>
      </c>
      <c r="L38" s="8">
        <f>144.73*32</f>
        <v>4631.36</v>
      </c>
      <c r="M38" s="8"/>
      <c r="N38" s="8"/>
      <c r="O38" s="24">
        <f t="shared" si="0"/>
        <v>2288.825</v>
      </c>
      <c r="P38" s="32">
        <f t="shared" si="11"/>
        <v>40236.133</v>
      </c>
      <c r="Q38" s="32"/>
      <c r="R38" s="34">
        <f t="shared" si="1"/>
        <v>30711.869999999995</v>
      </c>
      <c r="S38" s="19" t="s">
        <v>187</v>
      </c>
      <c r="T38" s="19"/>
      <c r="U38" s="19"/>
      <c r="V38" s="19">
        <f>180*150</f>
        <v>27000</v>
      </c>
      <c r="W38" s="19"/>
      <c r="X38" s="19"/>
      <c r="Y38" s="32">
        <f t="shared" si="12"/>
        <v>27000</v>
      </c>
      <c r="Z38" s="32">
        <f t="shared" si="2"/>
        <v>12884.003999999999</v>
      </c>
      <c r="AA38" s="32"/>
      <c r="AB38" s="32">
        <f t="shared" si="16"/>
        <v>4893.924</v>
      </c>
      <c r="AC38" s="34">
        <f t="shared" si="3"/>
        <v>2332.84</v>
      </c>
      <c r="AD38" s="8"/>
      <c r="AE38" s="8"/>
      <c r="AF38" s="34"/>
      <c r="AG38" s="32">
        <f t="shared" si="4"/>
        <v>11785.367999999999</v>
      </c>
      <c r="AH38" s="32">
        <v>57500</v>
      </c>
      <c r="AI38" s="32">
        <f t="shared" si="13"/>
        <v>187344.139</v>
      </c>
    </row>
    <row r="39" spans="1:35" ht="15.75">
      <c r="A39" s="3" t="s">
        <v>33</v>
      </c>
      <c r="B39" s="4" t="s">
        <v>38</v>
      </c>
      <c r="C39" s="3" t="s">
        <v>2</v>
      </c>
      <c r="D39" s="26">
        <v>618.4</v>
      </c>
      <c r="E39" s="19">
        <f t="shared" si="5"/>
        <v>2671.488</v>
      </c>
      <c r="F39" s="19">
        <f t="shared" si="6"/>
        <v>8830.752</v>
      </c>
      <c r="G39" s="19">
        <f t="shared" si="7"/>
        <v>8756.544</v>
      </c>
      <c r="H39" s="19">
        <f t="shared" si="8"/>
        <v>1929.408</v>
      </c>
      <c r="I39" s="19">
        <f t="shared" si="9"/>
        <v>445.248</v>
      </c>
      <c r="J39" s="19">
        <f t="shared" si="10"/>
        <v>1335.744</v>
      </c>
      <c r="K39" s="19">
        <f>12*8*4+12*6*2</f>
        <v>528</v>
      </c>
      <c r="L39" s="8">
        <f>144.73*18</f>
        <v>2605.14</v>
      </c>
      <c r="M39" s="8"/>
      <c r="N39" s="8"/>
      <c r="O39" s="24">
        <f t="shared" si="0"/>
        <v>1700.6</v>
      </c>
      <c r="P39" s="32">
        <f t="shared" si="11"/>
        <v>28802.923999999995</v>
      </c>
      <c r="Q39" s="32"/>
      <c r="R39" s="34">
        <f t="shared" si="1"/>
        <v>22818.96</v>
      </c>
      <c r="S39" s="19"/>
      <c r="T39" s="19"/>
      <c r="U39" s="19"/>
      <c r="V39" s="19"/>
      <c r="W39" s="19"/>
      <c r="X39" s="19"/>
      <c r="Y39" s="32">
        <f t="shared" si="12"/>
        <v>0</v>
      </c>
      <c r="Z39" s="32">
        <f t="shared" si="2"/>
        <v>9572.832</v>
      </c>
      <c r="AA39" s="32"/>
      <c r="AB39" s="32">
        <f t="shared" si="16"/>
        <v>3636.1919999999996</v>
      </c>
      <c r="AC39" s="34">
        <f t="shared" si="3"/>
        <v>1733.92</v>
      </c>
      <c r="AD39" s="8"/>
      <c r="AE39" s="8"/>
      <c r="AF39" s="34"/>
      <c r="AG39" s="32">
        <f t="shared" si="4"/>
        <v>8756.544</v>
      </c>
      <c r="AH39" s="32">
        <v>57500</v>
      </c>
      <c r="AI39" s="32">
        <f t="shared" si="13"/>
        <v>132821.37199999997</v>
      </c>
    </row>
    <row r="40" spans="1:35" ht="15.75">
      <c r="A40" s="3" t="s">
        <v>33</v>
      </c>
      <c r="B40" s="4" t="s">
        <v>39</v>
      </c>
      <c r="C40" s="3" t="s">
        <v>2</v>
      </c>
      <c r="D40" s="26">
        <v>849.4</v>
      </c>
      <c r="E40" s="19">
        <f t="shared" si="5"/>
        <v>3669.408</v>
      </c>
      <c r="F40" s="19">
        <f t="shared" si="6"/>
        <v>12129.431999999999</v>
      </c>
      <c r="G40" s="19">
        <f t="shared" si="7"/>
        <v>12027.503999999999</v>
      </c>
      <c r="H40" s="19">
        <f t="shared" si="8"/>
        <v>2650.1279999999997</v>
      </c>
      <c r="I40" s="19">
        <f t="shared" si="9"/>
        <v>611.568</v>
      </c>
      <c r="J40" s="19">
        <f t="shared" si="10"/>
        <v>1834.704</v>
      </c>
      <c r="K40" s="19">
        <f>12*6*2</f>
        <v>144</v>
      </c>
      <c r="L40" s="8"/>
      <c r="M40" s="8"/>
      <c r="N40" s="8"/>
      <c r="O40" s="24">
        <f t="shared" si="0"/>
        <v>2335.85</v>
      </c>
      <c r="P40" s="32">
        <f t="shared" si="11"/>
        <v>35402.594</v>
      </c>
      <c r="Q40" s="32"/>
      <c r="R40" s="34">
        <f t="shared" si="1"/>
        <v>31342.86</v>
      </c>
      <c r="S40" s="19"/>
      <c r="T40" s="19"/>
      <c r="U40" s="19"/>
      <c r="V40" s="19"/>
      <c r="W40" s="19">
        <f>21*220</f>
        <v>4620</v>
      </c>
      <c r="X40" s="19">
        <v>20000</v>
      </c>
      <c r="Y40" s="32">
        <f t="shared" si="12"/>
        <v>24620</v>
      </c>
      <c r="Z40" s="32">
        <f t="shared" si="2"/>
        <v>13148.712000000001</v>
      </c>
      <c r="AA40" s="32"/>
      <c r="AB40" s="32">
        <f t="shared" si="16"/>
        <v>4994.472</v>
      </c>
      <c r="AC40" s="34">
        <f t="shared" si="3"/>
        <v>2380.72</v>
      </c>
      <c r="AD40" s="8"/>
      <c r="AE40" s="8"/>
      <c r="AF40" s="34"/>
      <c r="AG40" s="32">
        <f t="shared" si="4"/>
        <v>12027.503999999999</v>
      </c>
      <c r="AH40" s="32">
        <v>57500</v>
      </c>
      <c r="AI40" s="32">
        <f t="shared" si="13"/>
        <v>181416.862</v>
      </c>
    </row>
    <row r="41" spans="1:35" ht="15.75">
      <c r="A41" s="3" t="s">
        <v>33</v>
      </c>
      <c r="B41" s="4" t="s">
        <v>40</v>
      </c>
      <c r="C41" s="3" t="s">
        <v>2</v>
      </c>
      <c r="D41" s="26">
        <v>952.6</v>
      </c>
      <c r="E41" s="19">
        <f t="shared" si="5"/>
        <v>4115.232</v>
      </c>
      <c r="F41" s="19">
        <f t="shared" si="6"/>
        <v>13603.128</v>
      </c>
      <c r="G41" s="19">
        <f t="shared" si="7"/>
        <v>13488.815999999999</v>
      </c>
      <c r="H41" s="19">
        <f t="shared" si="8"/>
        <v>2972.112</v>
      </c>
      <c r="I41" s="19">
        <f t="shared" si="9"/>
        <v>685.872</v>
      </c>
      <c r="J41" s="19">
        <f t="shared" si="10"/>
        <v>2057.616</v>
      </c>
      <c r="K41" s="19">
        <f>24*8*4+24*6*2</f>
        <v>1056</v>
      </c>
      <c r="L41" s="8">
        <f>144.73*30</f>
        <v>4341.9</v>
      </c>
      <c r="M41" s="8"/>
      <c r="N41" s="8"/>
      <c r="O41" s="24">
        <f t="shared" si="0"/>
        <v>2619.6500000000005</v>
      </c>
      <c r="P41" s="32">
        <f t="shared" si="11"/>
        <v>44940.32600000001</v>
      </c>
      <c r="Q41" s="32"/>
      <c r="R41" s="34">
        <f t="shared" si="1"/>
        <v>35150.94</v>
      </c>
      <c r="S41" s="19"/>
      <c r="T41" s="19"/>
      <c r="U41" s="19"/>
      <c r="V41" s="19"/>
      <c r="W41" s="19"/>
      <c r="X41" s="19"/>
      <c r="Y41" s="32">
        <f t="shared" si="12"/>
        <v>0</v>
      </c>
      <c r="Z41" s="32">
        <f t="shared" si="2"/>
        <v>14746.248</v>
      </c>
      <c r="AA41" s="32"/>
      <c r="AB41" s="32">
        <f t="shared" si="16"/>
        <v>5601.2880000000005</v>
      </c>
      <c r="AC41" s="34">
        <f t="shared" si="3"/>
        <v>2669.6800000000003</v>
      </c>
      <c r="AD41" s="8"/>
      <c r="AE41" s="8"/>
      <c r="AF41" s="34"/>
      <c r="AG41" s="32">
        <f t="shared" si="4"/>
        <v>13488.815999999999</v>
      </c>
      <c r="AH41" s="32">
        <v>57500</v>
      </c>
      <c r="AI41" s="32">
        <f t="shared" si="13"/>
        <v>174097.29799999998</v>
      </c>
    </row>
    <row r="42" spans="1:35" ht="15.75">
      <c r="A42" s="3" t="s">
        <v>33</v>
      </c>
      <c r="B42" s="4" t="s">
        <v>9</v>
      </c>
      <c r="C42" s="3" t="s">
        <v>2</v>
      </c>
      <c r="D42" s="26">
        <v>597.2</v>
      </c>
      <c r="E42" s="19">
        <f t="shared" si="5"/>
        <v>2579.9040000000005</v>
      </c>
      <c r="F42" s="19">
        <f t="shared" si="6"/>
        <v>8528.016</v>
      </c>
      <c r="G42" s="19">
        <f t="shared" si="7"/>
        <v>8456.352</v>
      </c>
      <c r="H42" s="19">
        <f t="shared" si="8"/>
        <v>1863.2640000000001</v>
      </c>
      <c r="I42" s="19">
        <f t="shared" si="9"/>
        <v>429.98400000000004</v>
      </c>
      <c r="J42" s="19">
        <f t="shared" si="10"/>
        <v>1289.9520000000002</v>
      </c>
      <c r="K42" s="19">
        <f>12*6*2</f>
        <v>144</v>
      </c>
      <c r="L42" s="8"/>
      <c r="M42" s="8"/>
      <c r="N42" s="8"/>
      <c r="O42" s="24">
        <f t="shared" si="0"/>
        <v>1642.3000000000002</v>
      </c>
      <c r="P42" s="32">
        <f t="shared" si="11"/>
        <v>24933.772</v>
      </c>
      <c r="Q42" s="32"/>
      <c r="R42" s="34">
        <f t="shared" si="1"/>
        <v>22036.68</v>
      </c>
      <c r="S42" s="19"/>
      <c r="T42" s="19"/>
      <c r="U42" s="19"/>
      <c r="V42" s="19"/>
      <c r="W42" s="19">
        <f>2*220</f>
        <v>440</v>
      </c>
      <c r="X42" s="19">
        <v>50000</v>
      </c>
      <c r="Y42" s="32">
        <f t="shared" si="12"/>
        <v>50440</v>
      </c>
      <c r="Z42" s="32">
        <f t="shared" si="2"/>
        <v>9244.656</v>
      </c>
      <c r="AA42" s="32"/>
      <c r="AB42" s="32">
        <f t="shared" si="16"/>
        <v>3511.5360000000005</v>
      </c>
      <c r="AC42" s="34">
        <f t="shared" si="3"/>
        <v>1674.5600000000002</v>
      </c>
      <c r="AD42" s="8"/>
      <c r="AE42" s="8"/>
      <c r="AF42" s="34"/>
      <c r="AG42" s="32">
        <f t="shared" si="4"/>
        <v>8456.352</v>
      </c>
      <c r="AH42" s="32">
        <v>57500</v>
      </c>
      <c r="AI42" s="32">
        <f t="shared" si="13"/>
        <v>177797.556</v>
      </c>
    </row>
    <row r="43" spans="1:35" ht="15.75">
      <c r="A43" s="3" t="s">
        <v>33</v>
      </c>
      <c r="B43" s="4" t="s">
        <v>11</v>
      </c>
      <c r="C43" s="3" t="s">
        <v>2</v>
      </c>
      <c r="D43" s="26">
        <v>713.7</v>
      </c>
      <c r="E43" s="19">
        <f t="shared" si="5"/>
        <v>3083.184</v>
      </c>
      <c r="F43" s="19">
        <f t="shared" si="6"/>
        <v>10191.636</v>
      </c>
      <c r="G43" s="19">
        <f t="shared" si="7"/>
        <v>10105.992</v>
      </c>
      <c r="H43" s="19">
        <f t="shared" si="8"/>
        <v>2226.744</v>
      </c>
      <c r="I43" s="19">
        <f t="shared" si="9"/>
        <v>513.864</v>
      </c>
      <c r="J43" s="19">
        <f t="shared" si="10"/>
        <v>1541.592</v>
      </c>
      <c r="K43" s="19">
        <f>17*8*4+17*6*2</f>
        <v>748</v>
      </c>
      <c r="L43" s="8">
        <f>144.73*3</f>
        <v>434.18999999999994</v>
      </c>
      <c r="M43" s="8"/>
      <c r="N43" s="8">
        <f>492*20.77</f>
        <v>10218.84</v>
      </c>
      <c r="O43" s="24">
        <f t="shared" si="0"/>
        <v>1962.6750000000004</v>
      </c>
      <c r="P43" s="32">
        <f t="shared" si="11"/>
        <v>41026.717000000004</v>
      </c>
      <c r="Q43" s="32"/>
      <c r="R43" s="34">
        <f t="shared" si="1"/>
        <v>26335.530000000006</v>
      </c>
      <c r="S43" s="19"/>
      <c r="T43" s="19"/>
      <c r="U43" s="19"/>
      <c r="V43" s="19">
        <f>116*150</f>
        <v>17400</v>
      </c>
      <c r="W43" s="19"/>
      <c r="X43" s="19"/>
      <c r="Y43" s="32">
        <f t="shared" si="12"/>
        <v>17400</v>
      </c>
      <c r="Z43" s="32">
        <f t="shared" si="2"/>
        <v>11048.076000000001</v>
      </c>
      <c r="AA43" s="32"/>
      <c r="AB43" s="32">
        <f t="shared" si="16"/>
        <v>4196.5560000000005</v>
      </c>
      <c r="AC43" s="34">
        <f t="shared" si="3"/>
        <v>2000.7600000000002</v>
      </c>
      <c r="AD43" s="8"/>
      <c r="AE43" s="8"/>
      <c r="AF43" s="34"/>
      <c r="AG43" s="32">
        <f t="shared" si="4"/>
        <v>10105.992</v>
      </c>
      <c r="AH43" s="32">
        <v>57500</v>
      </c>
      <c r="AI43" s="32">
        <f t="shared" si="13"/>
        <v>169613.631</v>
      </c>
    </row>
    <row r="44" spans="1:35" ht="15.75">
      <c r="A44" s="3" t="s">
        <v>33</v>
      </c>
      <c r="B44" s="4" t="s">
        <v>12</v>
      </c>
      <c r="C44" s="3" t="s">
        <v>2</v>
      </c>
      <c r="D44" s="26">
        <v>3113.8</v>
      </c>
      <c r="E44" s="19">
        <f t="shared" si="5"/>
        <v>13451.616000000002</v>
      </c>
      <c r="F44" s="19">
        <f t="shared" si="6"/>
        <v>44465.064</v>
      </c>
      <c r="G44" s="19">
        <f t="shared" si="7"/>
        <v>44091.408</v>
      </c>
      <c r="H44" s="19">
        <f t="shared" si="8"/>
        <v>9715.056</v>
      </c>
      <c r="I44" s="19">
        <f t="shared" si="9"/>
        <v>2241.936</v>
      </c>
      <c r="J44" s="19">
        <f t="shared" si="10"/>
        <v>6725.808000000001</v>
      </c>
      <c r="K44" s="19">
        <f>68*6*2</f>
        <v>816</v>
      </c>
      <c r="L44" s="8">
        <f>144.73*3</f>
        <v>434.18999999999994</v>
      </c>
      <c r="M44" s="8"/>
      <c r="N44" s="8"/>
      <c r="O44" s="24">
        <f t="shared" si="0"/>
        <v>8562.95</v>
      </c>
      <c r="P44" s="32">
        <f t="shared" si="11"/>
        <v>130504.028</v>
      </c>
      <c r="Q44" s="32">
        <f>D44*1.27*5+D44*1.34*7</f>
        <v>48980.07400000001</v>
      </c>
      <c r="R44" s="34">
        <f t="shared" si="1"/>
        <v>114899.22000000003</v>
      </c>
      <c r="S44" s="19"/>
      <c r="T44" s="19"/>
      <c r="U44" s="19"/>
      <c r="V44" s="19"/>
      <c r="W44" s="19"/>
      <c r="X44" s="19">
        <v>5000</v>
      </c>
      <c r="Y44" s="32">
        <f t="shared" si="12"/>
        <v>5000</v>
      </c>
      <c r="Z44" s="32">
        <f t="shared" si="2"/>
        <v>48201.624</v>
      </c>
      <c r="AA44" s="32"/>
      <c r="AB44" s="32">
        <f t="shared" si="16"/>
        <v>18309.144</v>
      </c>
      <c r="AC44" s="34">
        <f t="shared" si="3"/>
        <v>8721.04</v>
      </c>
      <c r="AD44" s="8"/>
      <c r="AE44" s="8"/>
      <c r="AF44" s="34"/>
      <c r="AG44" s="32">
        <f t="shared" si="4"/>
        <v>44091.408</v>
      </c>
      <c r="AH44" s="32">
        <v>57500</v>
      </c>
      <c r="AI44" s="32">
        <f t="shared" si="13"/>
        <v>476206.53800000006</v>
      </c>
    </row>
    <row r="45" spans="1:35" ht="15.75">
      <c r="A45" s="3" t="s">
        <v>33</v>
      </c>
      <c r="B45" s="4" t="s">
        <v>41</v>
      </c>
      <c r="C45" s="3" t="s">
        <v>2</v>
      </c>
      <c r="D45" s="26">
        <v>722.1</v>
      </c>
      <c r="E45" s="19">
        <f t="shared" si="5"/>
        <v>3119.472</v>
      </c>
      <c r="F45" s="19">
        <f t="shared" si="6"/>
        <v>10311.588</v>
      </c>
      <c r="G45" s="19">
        <f t="shared" si="7"/>
        <v>10224.936</v>
      </c>
      <c r="H45" s="19">
        <f t="shared" si="8"/>
        <v>2252.952</v>
      </c>
      <c r="I45" s="19">
        <f t="shared" si="9"/>
        <v>519.912</v>
      </c>
      <c r="J45" s="19">
        <f t="shared" si="10"/>
        <v>1559.736</v>
      </c>
      <c r="K45" s="19">
        <f>17*8*4+17*6*2</f>
        <v>748</v>
      </c>
      <c r="L45" s="8">
        <f>144.73*2</f>
        <v>289.46</v>
      </c>
      <c r="M45" s="8"/>
      <c r="N45" s="8"/>
      <c r="O45" s="24">
        <f t="shared" si="0"/>
        <v>1985.775</v>
      </c>
      <c r="P45" s="32">
        <f t="shared" si="11"/>
        <v>31011.831000000002</v>
      </c>
      <c r="Q45" s="32"/>
      <c r="R45" s="34">
        <f t="shared" si="1"/>
        <v>26645.490000000005</v>
      </c>
      <c r="S45" s="19"/>
      <c r="T45" s="19"/>
      <c r="U45" s="19"/>
      <c r="V45" s="19"/>
      <c r="W45" s="19"/>
      <c r="X45" s="19"/>
      <c r="Y45" s="32">
        <f t="shared" si="12"/>
        <v>0</v>
      </c>
      <c r="Z45" s="32">
        <f t="shared" si="2"/>
        <v>11178.108</v>
      </c>
      <c r="AA45" s="32"/>
      <c r="AB45" s="32">
        <f t="shared" si="16"/>
        <v>4245.948</v>
      </c>
      <c r="AC45" s="34">
        <f t="shared" si="3"/>
        <v>2024.2800000000002</v>
      </c>
      <c r="AD45" s="8"/>
      <c r="AE45" s="8"/>
      <c r="AF45" s="34"/>
      <c r="AG45" s="32">
        <f t="shared" si="4"/>
        <v>10224.936</v>
      </c>
      <c r="AH45" s="32">
        <v>57500</v>
      </c>
      <c r="AI45" s="32">
        <f t="shared" si="13"/>
        <v>142830.593</v>
      </c>
    </row>
    <row r="46" spans="1:35" ht="15.75">
      <c r="A46" s="3" t="s">
        <v>33</v>
      </c>
      <c r="B46" s="4" t="s">
        <v>42</v>
      </c>
      <c r="C46" s="3" t="s">
        <v>2</v>
      </c>
      <c r="D46" s="26">
        <v>1254.7</v>
      </c>
      <c r="E46" s="19">
        <f t="shared" si="5"/>
        <v>5420.304</v>
      </c>
      <c r="F46" s="19">
        <f t="shared" si="6"/>
        <v>17917.116</v>
      </c>
      <c r="G46" s="19">
        <f t="shared" si="7"/>
        <v>17766.552</v>
      </c>
      <c r="H46" s="19">
        <f t="shared" si="8"/>
        <v>3914.6640000000007</v>
      </c>
      <c r="I46" s="19">
        <f t="shared" si="9"/>
        <v>903.384</v>
      </c>
      <c r="J46" s="19">
        <f t="shared" si="10"/>
        <v>2710.152</v>
      </c>
      <c r="K46" s="19">
        <f>32*8*4+32*6*2</f>
        <v>1408</v>
      </c>
      <c r="L46" s="8">
        <f>144.73*3</f>
        <v>434.18999999999994</v>
      </c>
      <c r="M46" s="8"/>
      <c r="N46" s="8"/>
      <c r="O46" s="24">
        <f t="shared" si="0"/>
        <v>3450.425</v>
      </c>
      <c r="P46" s="32">
        <f t="shared" si="11"/>
        <v>53924.787000000004</v>
      </c>
      <c r="Q46" s="32">
        <f>D46*1.27*5+D46*1.34*7</f>
        <v>19736.431</v>
      </c>
      <c r="R46" s="34">
        <f t="shared" si="1"/>
        <v>46298.43000000001</v>
      </c>
      <c r="S46" s="19"/>
      <c r="T46" s="19"/>
      <c r="U46" s="19"/>
      <c r="V46" s="19"/>
      <c r="W46" s="19"/>
      <c r="X46" s="19"/>
      <c r="Y46" s="32">
        <f t="shared" si="12"/>
        <v>0</v>
      </c>
      <c r="Z46" s="32">
        <f t="shared" si="2"/>
        <v>19422.756</v>
      </c>
      <c r="AA46" s="32"/>
      <c r="AB46" s="32">
        <f t="shared" si="16"/>
        <v>7377.636</v>
      </c>
      <c r="AC46" s="34">
        <f t="shared" si="3"/>
        <v>3515.5600000000004</v>
      </c>
      <c r="AD46" s="8"/>
      <c r="AE46" s="8"/>
      <c r="AF46" s="34"/>
      <c r="AG46" s="32">
        <f t="shared" si="4"/>
        <v>17766.552</v>
      </c>
      <c r="AH46" s="32">
        <v>57500</v>
      </c>
      <c r="AI46" s="32">
        <f t="shared" si="13"/>
        <v>225542.152</v>
      </c>
    </row>
    <row r="47" spans="1:35" ht="15.75">
      <c r="A47" s="3" t="s">
        <v>33</v>
      </c>
      <c r="B47" s="4" t="s">
        <v>43</v>
      </c>
      <c r="C47" s="3" t="s">
        <v>2</v>
      </c>
      <c r="D47" s="26">
        <v>963.7</v>
      </c>
      <c r="E47" s="19">
        <f t="shared" si="5"/>
        <v>4163.184</v>
      </c>
      <c r="F47" s="19">
        <f t="shared" si="6"/>
        <v>13761.636000000002</v>
      </c>
      <c r="G47" s="19">
        <f t="shared" si="7"/>
        <v>13645.991999999998</v>
      </c>
      <c r="H47" s="19">
        <f t="shared" si="8"/>
        <v>3006.744</v>
      </c>
      <c r="I47" s="19">
        <f t="shared" si="9"/>
        <v>693.864</v>
      </c>
      <c r="J47" s="19">
        <f t="shared" si="10"/>
        <v>2081.592</v>
      </c>
      <c r="K47" s="19">
        <f>24*8*4+24*6*2</f>
        <v>1056</v>
      </c>
      <c r="L47" s="8">
        <f>144.73*30</f>
        <v>4341.9</v>
      </c>
      <c r="M47" s="8"/>
      <c r="N47" s="8"/>
      <c r="O47" s="24">
        <f t="shared" si="0"/>
        <v>2650.175</v>
      </c>
      <c r="P47" s="32">
        <f t="shared" si="11"/>
        <v>45401.08700000001</v>
      </c>
      <c r="Q47" s="32"/>
      <c r="R47" s="34">
        <f t="shared" si="1"/>
        <v>35560.530000000006</v>
      </c>
      <c r="S47" s="19"/>
      <c r="T47" s="19"/>
      <c r="U47" s="19"/>
      <c r="V47" s="19">
        <f>190*150</f>
        <v>28500</v>
      </c>
      <c r="W47" s="19"/>
      <c r="X47" s="19"/>
      <c r="Y47" s="32">
        <f t="shared" si="12"/>
        <v>28500</v>
      </c>
      <c r="Z47" s="32">
        <f t="shared" si="2"/>
        <v>14918.076000000001</v>
      </c>
      <c r="AA47" s="32"/>
      <c r="AB47" s="32">
        <f t="shared" si="16"/>
        <v>5666.5560000000005</v>
      </c>
      <c r="AC47" s="34">
        <f t="shared" si="3"/>
        <v>2700.76</v>
      </c>
      <c r="AD47" s="8"/>
      <c r="AE47" s="8"/>
      <c r="AF47" s="34"/>
      <c r="AG47" s="32">
        <f t="shared" si="4"/>
        <v>13645.991999999998</v>
      </c>
      <c r="AH47" s="32">
        <v>57500</v>
      </c>
      <c r="AI47" s="32">
        <f t="shared" si="13"/>
        <v>203893.00100000002</v>
      </c>
    </row>
    <row r="48" spans="1:35" ht="15.75">
      <c r="A48" s="3" t="s">
        <v>33</v>
      </c>
      <c r="B48" s="4" t="s">
        <v>13</v>
      </c>
      <c r="C48" s="3" t="s">
        <v>2</v>
      </c>
      <c r="D48" s="26">
        <v>3165</v>
      </c>
      <c r="E48" s="19">
        <f t="shared" si="5"/>
        <v>13672.8</v>
      </c>
      <c r="F48" s="19">
        <f t="shared" si="6"/>
        <v>45196.2</v>
      </c>
      <c r="G48" s="19">
        <f t="shared" si="7"/>
        <v>44816.399999999994</v>
      </c>
      <c r="H48" s="19">
        <f t="shared" si="8"/>
        <v>9874.8</v>
      </c>
      <c r="I48" s="19">
        <f t="shared" si="9"/>
        <v>2278.8</v>
      </c>
      <c r="J48" s="19">
        <f t="shared" si="10"/>
        <v>6836.4</v>
      </c>
      <c r="K48" s="19">
        <f>72*6*2</f>
        <v>864</v>
      </c>
      <c r="L48" s="8">
        <f>144.73*2</f>
        <v>289.46</v>
      </c>
      <c r="M48" s="8"/>
      <c r="N48" s="8"/>
      <c r="O48" s="24">
        <f t="shared" si="0"/>
        <v>8703.750000000002</v>
      </c>
      <c r="P48" s="32">
        <f t="shared" si="11"/>
        <v>132532.61000000002</v>
      </c>
      <c r="Q48" s="32">
        <f>D48*1.27*5+D48*1.34*7</f>
        <v>49785.450000000004</v>
      </c>
      <c r="R48" s="34">
        <f t="shared" si="1"/>
        <v>116788.5</v>
      </c>
      <c r="S48" s="19"/>
      <c r="T48" s="19"/>
      <c r="U48" s="19"/>
      <c r="V48" s="19"/>
      <c r="W48" s="19">
        <f>27*220</f>
        <v>5940</v>
      </c>
      <c r="X48" s="19"/>
      <c r="Y48" s="32">
        <f t="shared" si="12"/>
        <v>5940</v>
      </c>
      <c r="Z48" s="32">
        <f t="shared" si="2"/>
        <v>48994.2</v>
      </c>
      <c r="AA48" s="32"/>
      <c r="AB48" s="32">
        <f t="shared" si="16"/>
        <v>18610.199999999997</v>
      </c>
      <c r="AC48" s="34">
        <f t="shared" si="3"/>
        <v>8864.4</v>
      </c>
      <c r="AD48" s="8"/>
      <c r="AE48" s="8"/>
      <c r="AF48" s="34"/>
      <c r="AG48" s="32">
        <f t="shared" si="4"/>
        <v>44816.399999999994</v>
      </c>
      <c r="AH48" s="32">
        <v>57500</v>
      </c>
      <c r="AI48" s="32">
        <f t="shared" si="13"/>
        <v>483831.7600000001</v>
      </c>
    </row>
    <row r="49" spans="1:35" ht="15.75">
      <c r="A49" s="3" t="s">
        <v>33</v>
      </c>
      <c r="B49" s="4" t="s">
        <v>16</v>
      </c>
      <c r="C49" s="3" t="s">
        <v>2</v>
      </c>
      <c r="D49" s="26">
        <v>2786.5</v>
      </c>
      <c r="E49" s="19">
        <f t="shared" si="5"/>
        <v>12037.68</v>
      </c>
      <c r="F49" s="19">
        <f t="shared" si="6"/>
        <v>39791.22</v>
      </c>
      <c r="G49" s="19">
        <f t="shared" si="7"/>
        <v>39456.84</v>
      </c>
      <c r="H49" s="19">
        <f t="shared" si="8"/>
        <v>8693.880000000001</v>
      </c>
      <c r="I49" s="19">
        <f t="shared" si="9"/>
        <v>2006.28</v>
      </c>
      <c r="J49" s="19">
        <f t="shared" si="10"/>
        <v>6018.84</v>
      </c>
      <c r="K49" s="19">
        <f>60*8+60*6*2</f>
        <v>1200</v>
      </c>
      <c r="L49" s="8">
        <f>144.73*2</f>
        <v>289.46</v>
      </c>
      <c r="M49" s="8"/>
      <c r="N49" s="8"/>
      <c r="O49" s="24">
        <f t="shared" si="0"/>
        <v>7662.875</v>
      </c>
      <c r="P49" s="32">
        <f t="shared" si="11"/>
        <v>117157.075</v>
      </c>
      <c r="Q49" s="32">
        <f>D49*1.27*5+D49*1.34*7</f>
        <v>43831.645000000004</v>
      </c>
      <c r="R49" s="34">
        <f t="shared" si="1"/>
        <v>102821.85</v>
      </c>
      <c r="S49" s="19"/>
      <c r="T49" s="19"/>
      <c r="U49" s="19"/>
      <c r="V49" s="19"/>
      <c r="W49" s="19"/>
      <c r="X49" s="19"/>
      <c r="Y49" s="32">
        <f t="shared" si="12"/>
        <v>0</v>
      </c>
      <c r="Z49" s="32">
        <f t="shared" si="2"/>
        <v>43135.020000000004</v>
      </c>
      <c r="AA49" s="32"/>
      <c r="AB49" s="32">
        <f t="shared" si="16"/>
        <v>16384.62</v>
      </c>
      <c r="AC49" s="34">
        <f t="shared" si="3"/>
        <v>7804.6</v>
      </c>
      <c r="AD49" s="8"/>
      <c r="AE49" s="8"/>
      <c r="AF49" s="34"/>
      <c r="AG49" s="32">
        <f t="shared" si="4"/>
        <v>39456.84</v>
      </c>
      <c r="AH49" s="32">
        <v>57500</v>
      </c>
      <c r="AI49" s="32">
        <f t="shared" si="13"/>
        <v>428091.65</v>
      </c>
    </row>
    <row r="50" spans="1:35" ht="15.75">
      <c r="A50" s="3" t="s">
        <v>33</v>
      </c>
      <c r="B50" s="4" t="s">
        <v>44</v>
      </c>
      <c r="C50" s="3" t="s">
        <v>2</v>
      </c>
      <c r="D50" s="26">
        <v>618.1</v>
      </c>
      <c r="E50" s="19">
        <f t="shared" si="5"/>
        <v>2670.192</v>
      </c>
      <c r="F50" s="19">
        <f t="shared" si="6"/>
        <v>8826.468</v>
      </c>
      <c r="G50" s="19">
        <f t="shared" si="7"/>
        <v>8752.295999999998</v>
      </c>
      <c r="H50" s="19">
        <f t="shared" si="8"/>
        <v>1928.4720000000002</v>
      </c>
      <c r="I50" s="19">
        <f t="shared" si="9"/>
        <v>445.032</v>
      </c>
      <c r="J50" s="19">
        <f t="shared" si="10"/>
        <v>1335.096</v>
      </c>
      <c r="K50" s="19">
        <f>12*8*4+12*6*2</f>
        <v>528</v>
      </c>
      <c r="L50" s="8"/>
      <c r="M50" s="8"/>
      <c r="N50" s="8"/>
      <c r="O50" s="24">
        <f t="shared" si="0"/>
        <v>1699.775</v>
      </c>
      <c r="P50" s="32">
        <f t="shared" si="11"/>
        <v>26185.331000000002</v>
      </c>
      <c r="Q50" s="32"/>
      <c r="R50" s="34">
        <f t="shared" si="1"/>
        <v>22807.890000000003</v>
      </c>
      <c r="S50" s="19">
        <f>158*700</f>
        <v>110600</v>
      </c>
      <c r="T50" s="19"/>
      <c r="U50" s="19"/>
      <c r="V50" s="19"/>
      <c r="W50" s="19"/>
      <c r="X50" s="19"/>
      <c r="Y50" s="32">
        <f t="shared" si="12"/>
        <v>110600</v>
      </c>
      <c r="Z50" s="32">
        <f t="shared" si="2"/>
        <v>9568.188</v>
      </c>
      <c r="AA50" s="32"/>
      <c r="AB50" s="32">
        <f t="shared" si="16"/>
        <v>3634.4280000000003</v>
      </c>
      <c r="AC50" s="34">
        <f t="shared" si="3"/>
        <v>1733.0800000000002</v>
      </c>
      <c r="AD50" s="8"/>
      <c r="AE50" s="8"/>
      <c r="AF50" s="34"/>
      <c r="AG50" s="32">
        <f t="shared" si="4"/>
        <v>8752.295999999998</v>
      </c>
      <c r="AH50" s="32">
        <v>57500</v>
      </c>
      <c r="AI50" s="32">
        <f t="shared" si="13"/>
        <v>240781.21300000002</v>
      </c>
    </row>
    <row r="51" spans="1:35" ht="15.75">
      <c r="A51" s="3" t="s">
        <v>45</v>
      </c>
      <c r="B51" s="4" t="s">
        <v>35</v>
      </c>
      <c r="C51" s="3" t="s">
        <v>2</v>
      </c>
      <c r="D51" s="26">
        <v>458.7</v>
      </c>
      <c r="E51" s="19">
        <f t="shared" si="5"/>
        <v>1981.5839999999998</v>
      </c>
      <c r="F51" s="19">
        <f t="shared" si="6"/>
        <v>6550.235999999999</v>
      </c>
      <c r="G51" s="19">
        <f t="shared" si="7"/>
        <v>6495.191999999999</v>
      </c>
      <c r="H51" s="19">
        <f t="shared" si="8"/>
        <v>1431.144</v>
      </c>
      <c r="I51" s="19">
        <f t="shared" si="9"/>
        <v>330.264</v>
      </c>
      <c r="J51" s="19">
        <f t="shared" si="10"/>
        <v>990.7919999999999</v>
      </c>
      <c r="K51" s="19">
        <f>6*8*4+6*6*2</f>
        <v>264</v>
      </c>
      <c r="L51" s="8">
        <f>144.73*3</f>
        <v>434.18999999999994</v>
      </c>
      <c r="M51" s="8"/>
      <c r="N51" s="8"/>
      <c r="O51" s="24">
        <f t="shared" si="0"/>
        <v>1261.4250000000002</v>
      </c>
      <c r="P51" s="32">
        <f t="shared" si="11"/>
        <v>19738.826999999997</v>
      </c>
      <c r="Q51" s="32"/>
      <c r="R51" s="34">
        <f t="shared" si="1"/>
        <v>16926.03</v>
      </c>
      <c r="S51" s="19"/>
      <c r="T51" s="19"/>
      <c r="U51" s="19"/>
      <c r="V51" s="19"/>
      <c r="W51" s="19"/>
      <c r="X51" s="19"/>
      <c r="Y51" s="32">
        <f t="shared" si="12"/>
        <v>0</v>
      </c>
      <c r="Z51" s="32">
        <f t="shared" si="2"/>
        <v>7100.6759999999995</v>
      </c>
      <c r="AA51" s="32"/>
      <c r="AB51" s="32">
        <f t="shared" si="16"/>
        <v>2697.156</v>
      </c>
      <c r="AC51" s="34">
        <f t="shared" si="3"/>
        <v>1286.7600000000002</v>
      </c>
      <c r="AD51" s="8"/>
      <c r="AE51" s="8"/>
      <c r="AF51" s="34"/>
      <c r="AG51" s="32">
        <f t="shared" si="4"/>
        <v>6495.191999999999</v>
      </c>
      <c r="AH51" s="32">
        <v>57500</v>
      </c>
      <c r="AI51" s="32">
        <f t="shared" si="13"/>
        <v>111744.641</v>
      </c>
    </row>
    <row r="52" spans="1:35" ht="15.75">
      <c r="A52" s="3" t="s">
        <v>45</v>
      </c>
      <c r="B52" s="4" t="s">
        <v>17</v>
      </c>
      <c r="C52" s="3" t="s">
        <v>2</v>
      </c>
      <c r="D52" s="26">
        <v>638.7</v>
      </c>
      <c r="E52" s="19">
        <f t="shared" si="5"/>
        <v>2759.184</v>
      </c>
      <c r="F52" s="19">
        <f t="shared" si="6"/>
        <v>9120.636</v>
      </c>
      <c r="G52" s="19">
        <f t="shared" si="7"/>
        <v>9043.992</v>
      </c>
      <c r="H52" s="19">
        <f t="shared" si="8"/>
        <v>1992.7440000000001</v>
      </c>
      <c r="I52" s="19">
        <f t="shared" si="9"/>
        <v>459.86400000000003</v>
      </c>
      <c r="J52" s="19">
        <f t="shared" si="10"/>
        <v>1379.592</v>
      </c>
      <c r="K52" s="19">
        <f>12*8+12*6*2</f>
        <v>240</v>
      </c>
      <c r="L52" s="8">
        <f>144.73*3</f>
        <v>434.18999999999994</v>
      </c>
      <c r="M52" s="8"/>
      <c r="N52" s="8">
        <f>610*20.77</f>
        <v>12669.699999999999</v>
      </c>
      <c r="O52" s="24">
        <f t="shared" si="0"/>
        <v>1756.4250000000002</v>
      </c>
      <c r="P52" s="32">
        <f t="shared" si="11"/>
        <v>39856.327</v>
      </c>
      <c r="Q52" s="32"/>
      <c r="R52" s="34">
        <f t="shared" si="1"/>
        <v>23568.030000000002</v>
      </c>
      <c r="S52" s="19"/>
      <c r="T52" s="19"/>
      <c r="U52" s="19"/>
      <c r="V52" s="19">
        <f>90*150</f>
        <v>13500</v>
      </c>
      <c r="W52" s="19">
        <f>5*220</f>
        <v>1100</v>
      </c>
      <c r="X52" s="19"/>
      <c r="Y52" s="32">
        <f t="shared" si="12"/>
        <v>14600</v>
      </c>
      <c r="Z52" s="32">
        <f t="shared" si="2"/>
        <v>9887.076000000001</v>
      </c>
      <c r="AA52" s="32"/>
      <c r="AB52" s="32">
        <f t="shared" si="16"/>
        <v>3755.5560000000005</v>
      </c>
      <c r="AC52" s="34">
        <f t="shared" si="3"/>
        <v>1790.7600000000002</v>
      </c>
      <c r="AD52" s="8"/>
      <c r="AE52" s="8"/>
      <c r="AF52" s="34"/>
      <c r="AG52" s="32">
        <f t="shared" si="4"/>
        <v>9043.992</v>
      </c>
      <c r="AH52" s="32">
        <v>57500</v>
      </c>
      <c r="AI52" s="32">
        <f t="shared" si="13"/>
        <v>160001.74099999998</v>
      </c>
    </row>
    <row r="53" spans="1:35" ht="15.75">
      <c r="A53" s="3" t="s">
        <v>45</v>
      </c>
      <c r="B53" s="4" t="s">
        <v>46</v>
      </c>
      <c r="C53" s="3" t="s">
        <v>2</v>
      </c>
      <c r="D53" s="26">
        <v>555.7</v>
      </c>
      <c r="E53" s="19">
        <f t="shared" si="5"/>
        <v>2400.6240000000003</v>
      </c>
      <c r="F53" s="19">
        <f t="shared" si="6"/>
        <v>7935.396000000001</v>
      </c>
      <c r="G53" s="19">
        <f t="shared" si="7"/>
        <v>7868.7119999999995</v>
      </c>
      <c r="H53" s="19">
        <f t="shared" si="8"/>
        <v>1733.7840000000003</v>
      </c>
      <c r="I53" s="19">
        <f t="shared" si="9"/>
        <v>400.104</v>
      </c>
      <c r="J53" s="19">
        <f t="shared" si="10"/>
        <v>1200.3120000000001</v>
      </c>
      <c r="K53" s="19">
        <f>9*8*4+9*6*2</f>
        <v>396</v>
      </c>
      <c r="L53" s="8">
        <f>144.73*3</f>
        <v>434.18999999999994</v>
      </c>
      <c r="M53" s="8"/>
      <c r="N53" s="8">
        <f>501*20.77</f>
        <v>10405.77</v>
      </c>
      <c r="O53" s="24">
        <f t="shared" si="0"/>
        <v>1528.1750000000002</v>
      </c>
      <c r="P53" s="32">
        <f t="shared" si="11"/>
        <v>34303.067</v>
      </c>
      <c r="Q53" s="32"/>
      <c r="R53" s="34">
        <f t="shared" si="1"/>
        <v>20505.33</v>
      </c>
      <c r="S53" s="19"/>
      <c r="T53" s="19"/>
      <c r="U53" s="19"/>
      <c r="V53" s="19">
        <f>90*150</f>
        <v>13500</v>
      </c>
      <c r="W53" s="19">
        <f>2.2*220</f>
        <v>484.00000000000006</v>
      </c>
      <c r="X53" s="19">
        <v>5000</v>
      </c>
      <c r="Y53" s="32">
        <f t="shared" si="12"/>
        <v>18984</v>
      </c>
      <c r="Z53" s="32">
        <f t="shared" si="2"/>
        <v>8602.236</v>
      </c>
      <c r="AA53" s="32"/>
      <c r="AB53" s="32">
        <f t="shared" si="16"/>
        <v>3267.516</v>
      </c>
      <c r="AC53" s="34">
        <f t="shared" si="3"/>
        <v>1558.3600000000004</v>
      </c>
      <c r="AD53" s="8"/>
      <c r="AE53" s="8"/>
      <c r="AF53" s="34"/>
      <c r="AG53" s="32">
        <f t="shared" si="4"/>
        <v>7868.7119999999995</v>
      </c>
      <c r="AH53" s="32">
        <v>57500</v>
      </c>
      <c r="AI53" s="32">
        <f t="shared" si="13"/>
        <v>152589.22100000002</v>
      </c>
    </row>
    <row r="54" spans="1:35" ht="15.75">
      <c r="A54" s="3" t="s">
        <v>45</v>
      </c>
      <c r="B54" s="4" t="s">
        <v>47</v>
      </c>
      <c r="C54" s="3" t="s">
        <v>2</v>
      </c>
      <c r="D54" s="26">
        <v>366.8</v>
      </c>
      <c r="E54" s="19">
        <f t="shared" si="5"/>
        <v>1584.576</v>
      </c>
      <c r="F54" s="19">
        <f t="shared" si="6"/>
        <v>5237.904</v>
      </c>
      <c r="G54" s="19">
        <f t="shared" si="7"/>
        <v>5193.888</v>
      </c>
      <c r="H54" s="19">
        <f t="shared" si="8"/>
        <v>1144.4160000000002</v>
      </c>
      <c r="I54" s="19">
        <f t="shared" si="9"/>
        <v>264.096</v>
      </c>
      <c r="J54" s="19">
        <f t="shared" si="10"/>
        <v>792.288</v>
      </c>
      <c r="K54" s="19">
        <f>8*8*4+8*6*2</f>
        <v>352</v>
      </c>
      <c r="L54" s="8">
        <f>144.73*12</f>
        <v>1736.7599999999998</v>
      </c>
      <c r="M54" s="8"/>
      <c r="N54" s="8"/>
      <c r="O54" s="24">
        <f t="shared" si="0"/>
        <v>1008.7</v>
      </c>
      <c r="P54" s="32">
        <f t="shared" si="11"/>
        <v>17314.628</v>
      </c>
      <c r="Q54" s="32"/>
      <c r="R54" s="34">
        <f t="shared" si="1"/>
        <v>13534.920000000002</v>
      </c>
      <c r="S54" s="19"/>
      <c r="T54" s="19"/>
      <c r="U54" s="19">
        <v>74532</v>
      </c>
      <c r="V54" s="19"/>
      <c r="W54" s="19"/>
      <c r="X54" s="19">
        <v>2000</v>
      </c>
      <c r="Y54" s="32">
        <f t="shared" si="12"/>
        <v>76532</v>
      </c>
      <c r="Z54" s="32">
        <f t="shared" si="2"/>
        <v>5678.064</v>
      </c>
      <c r="AA54" s="32"/>
      <c r="AB54" s="32">
        <f t="shared" si="16"/>
        <v>2156.784</v>
      </c>
      <c r="AC54" s="34">
        <f t="shared" si="3"/>
        <v>1029.44</v>
      </c>
      <c r="AD54" s="8"/>
      <c r="AE54" s="8"/>
      <c r="AF54" s="34"/>
      <c r="AG54" s="32">
        <f t="shared" si="4"/>
        <v>5193.888</v>
      </c>
      <c r="AH54" s="32">
        <v>57500</v>
      </c>
      <c r="AI54" s="32">
        <f t="shared" si="13"/>
        <v>178939.72400000002</v>
      </c>
    </row>
    <row r="55" spans="1:35" ht="15.75">
      <c r="A55" s="3" t="s">
        <v>45</v>
      </c>
      <c r="B55" s="4" t="s">
        <v>48</v>
      </c>
      <c r="C55" s="3" t="s">
        <v>2</v>
      </c>
      <c r="D55" s="26">
        <v>582.9</v>
      </c>
      <c r="E55" s="19">
        <f t="shared" si="5"/>
        <v>2518.1279999999997</v>
      </c>
      <c r="F55" s="19">
        <f t="shared" si="6"/>
        <v>8323.812</v>
      </c>
      <c r="G55" s="19">
        <f t="shared" si="7"/>
        <v>8253.863999999998</v>
      </c>
      <c r="H55" s="19">
        <f t="shared" si="8"/>
        <v>1818.6480000000001</v>
      </c>
      <c r="I55" s="19">
        <f t="shared" si="9"/>
        <v>419.688</v>
      </c>
      <c r="J55" s="19">
        <f t="shared" si="10"/>
        <v>1259.0639999999999</v>
      </c>
      <c r="K55" s="19">
        <f>10*8+10*6*2</f>
        <v>200</v>
      </c>
      <c r="L55" s="8"/>
      <c r="M55" s="8"/>
      <c r="N55" s="8"/>
      <c r="O55" s="24">
        <f t="shared" si="0"/>
        <v>1602.9750000000001</v>
      </c>
      <c r="P55" s="32">
        <f t="shared" si="11"/>
        <v>24396.178999999993</v>
      </c>
      <c r="Q55" s="32"/>
      <c r="R55" s="34">
        <f t="shared" si="1"/>
        <v>21509.01</v>
      </c>
      <c r="S55" s="19">
        <f>513.7*80+43*700</f>
        <v>71196</v>
      </c>
      <c r="T55" s="19"/>
      <c r="U55" s="19"/>
      <c r="V55" s="19"/>
      <c r="W55" s="19">
        <f>2*220</f>
        <v>440</v>
      </c>
      <c r="X55" s="19"/>
      <c r="Y55" s="32">
        <f t="shared" si="12"/>
        <v>71636</v>
      </c>
      <c r="Z55" s="32">
        <f t="shared" si="2"/>
        <v>9023.292000000001</v>
      </c>
      <c r="AA55" s="32"/>
      <c r="AB55" s="32">
        <f t="shared" si="16"/>
        <v>3427.4519999999998</v>
      </c>
      <c r="AC55" s="34">
        <f t="shared" si="3"/>
        <v>1634.52</v>
      </c>
      <c r="AD55" s="8"/>
      <c r="AE55" s="8"/>
      <c r="AF55" s="34"/>
      <c r="AG55" s="32">
        <f t="shared" si="4"/>
        <v>8253.863999999998</v>
      </c>
      <c r="AH55" s="32">
        <v>57500</v>
      </c>
      <c r="AI55" s="32">
        <f t="shared" si="13"/>
        <v>197380.31699999998</v>
      </c>
    </row>
    <row r="56" spans="1:35" ht="15.75">
      <c r="A56" s="3" t="s">
        <v>45</v>
      </c>
      <c r="B56" s="4" t="s">
        <v>49</v>
      </c>
      <c r="C56" s="3" t="s">
        <v>2</v>
      </c>
      <c r="D56" s="26">
        <v>2139</v>
      </c>
      <c r="E56" s="19">
        <f t="shared" si="5"/>
        <v>9240.48</v>
      </c>
      <c r="F56" s="19">
        <f t="shared" si="6"/>
        <v>30544.92</v>
      </c>
      <c r="G56" s="19">
        <f t="shared" si="7"/>
        <v>30288.239999999998</v>
      </c>
      <c r="H56" s="19">
        <f t="shared" si="8"/>
        <v>6673.68</v>
      </c>
      <c r="I56" s="19">
        <f t="shared" si="9"/>
        <v>1540.08</v>
      </c>
      <c r="J56" s="19">
        <f t="shared" si="10"/>
        <v>4620.24</v>
      </c>
      <c r="K56" s="19">
        <f>39*8+39*6*2</f>
        <v>780</v>
      </c>
      <c r="L56" s="8">
        <f>144.73*3</f>
        <v>434.18999999999994</v>
      </c>
      <c r="M56" s="8"/>
      <c r="N56" s="8">
        <f>1279*20.77</f>
        <v>26564.829999999998</v>
      </c>
      <c r="O56" s="24">
        <f t="shared" si="0"/>
        <v>5882.25</v>
      </c>
      <c r="P56" s="32">
        <f t="shared" si="11"/>
        <v>116568.90999999999</v>
      </c>
      <c r="Q56" s="32"/>
      <c r="R56" s="34">
        <f t="shared" si="1"/>
        <v>78929.1</v>
      </c>
      <c r="S56" s="19">
        <f>683.3*80+52*700</f>
        <v>91064</v>
      </c>
      <c r="T56" s="19"/>
      <c r="U56" s="19"/>
      <c r="V56" s="19"/>
      <c r="W56" s="19">
        <f>3.4*220</f>
        <v>748</v>
      </c>
      <c r="X56" s="19"/>
      <c r="Y56" s="32">
        <f t="shared" si="12"/>
        <v>91812</v>
      </c>
      <c r="Z56" s="32">
        <f t="shared" si="2"/>
        <v>33111.72</v>
      </c>
      <c r="AA56" s="32"/>
      <c r="AB56" s="32">
        <f t="shared" si="16"/>
        <v>12577.32</v>
      </c>
      <c r="AC56" s="34">
        <f t="shared" si="3"/>
        <v>5991.599999999999</v>
      </c>
      <c r="AD56" s="8"/>
      <c r="AE56" s="8"/>
      <c r="AF56" s="34"/>
      <c r="AG56" s="32">
        <f t="shared" si="4"/>
        <v>30288.239999999998</v>
      </c>
      <c r="AH56" s="32">
        <v>57500</v>
      </c>
      <c r="AI56" s="32">
        <f t="shared" si="13"/>
        <v>426778.88999999996</v>
      </c>
    </row>
    <row r="57" spans="1:35" ht="15.75">
      <c r="A57" s="3" t="s">
        <v>45</v>
      </c>
      <c r="B57" s="4" t="s">
        <v>50</v>
      </c>
      <c r="C57" s="3" t="s">
        <v>2</v>
      </c>
      <c r="D57" s="26">
        <v>751.7</v>
      </c>
      <c r="E57" s="19">
        <f t="shared" si="5"/>
        <v>3247.344</v>
      </c>
      <c r="F57" s="19">
        <f t="shared" si="6"/>
        <v>10734.276</v>
      </c>
      <c r="G57" s="19">
        <f t="shared" si="7"/>
        <v>10644.072</v>
      </c>
      <c r="H57" s="19">
        <f t="shared" si="8"/>
        <v>2345.304</v>
      </c>
      <c r="I57" s="19">
        <f t="shared" si="9"/>
        <v>541.224</v>
      </c>
      <c r="J57" s="19">
        <f t="shared" si="10"/>
        <v>1623.672</v>
      </c>
      <c r="K57" s="19">
        <f>9*6*2</f>
        <v>108</v>
      </c>
      <c r="L57" s="8">
        <f>144.73*2</f>
        <v>289.46</v>
      </c>
      <c r="M57" s="8"/>
      <c r="N57" s="8"/>
      <c r="O57" s="24">
        <f t="shared" si="0"/>
        <v>2067.175</v>
      </c>
      <c r="P57" s="32">
        <f t="shared" si="11"/>
        <v>31600.526999999995</v>
      </c>
      <c r="Q57" s="32"/>
      <c r="R57" s="34">
        <f t="shared" si="1"/>
        <v>27737.730000000003</v>
      </c>
      <c r="S57" s="19"/>
      <c r="T57" s="19"/>
      <c r="U57" s="19"/>
      <c r="V57" s="19"/>
      <c r="W57" s="19">
        <f>7*220</f>
        <v>1540</v>
      </c>
      <c r="X57" s="19"/>
      <c r="Y57" s="32">
        <f t="shared" si="12"/>
        <v>1540</v>
      </c>
      <c r="Z57" s="32">
        <f t="shared" si="2"/>
        <v>11636.316</v>
      </c>
      <c r="AA57" s="32"/>
      <c r="AB57" s="32">
        <f t="shared" si="16"/>
        <v>4419.996</v>
      </c>
      <c r="AC57" s="34">
        <f t="shared" si="3"/>
        <v>2107.1600000000003</v>
      </c>
      <c r="AD57" s="8"/>
      <c r="AE57" s="8"/>
      <c r="AF57" s="34"/>
      <c r="AG57" s="32">
        <f t="shared" si="4"/>
        <v>10644.072</v>
      </c>
      <c r="AH57" s="32">
        <v>57500</v>
      </c>
      <c r="AI57" s="32">
        <f t="shared" si="13"/>
        <v>147185.801</v>
      </c>
    </row>
    <row r="58" spans="1:35" ht="15.75">
      <c r="A58" s="3" t="s">
        <v>45</v>
      </c>
      <c r="B58" s="4" t="s">
        <v>51</v>
      </c>
      <c r="C58" s="3" t="s">
        <v>2</v>
      </c>
      <c r="D58" s="26">
        <v>836.2</v>
      </c>
      <c r="E58" s="19">
        <f t="shared" si="5"/>
        <v>3612.384</v>
      </c>
      <c r="F58" s="19">
        <f t="shared" si="6"/>
        <v>11940.936</v>
      </c>
      <c r="G58" s="19">
        <f t="shared" si="7"/>
        <v>11840.592</v>
      </c>
      <c r="H58" s="19">
        <f t="shared" si="8"/>
        <v>2608.944</v>
      </c>
      <c r="I58" s="19">
        <f t="shared" si="9"/>
        <v>602.0640000000001</v>
      </c>
      <c r="J58" s="19">
        <f t="shared" si="10"/>
        <v>1806.192</v>
      </c>
      <c r="K58" s="19">
        <f>16*8*4+16*6*2</f>
        <v>704</v>
      </c>
      <c r="L58" s="8">
        <f>144.73*3</f>
        <v>434.18999999999994</v>
      </c>
      <c r="M58" s="8"/>
      <c r="N58" s="8"/>
      <c r="O58" s="24">
        <f t="shared" si="0"/>
        <v>2299.55</v>
      </c>
      <c r="P58" s="32">
        <f t="shared" si="11"/>
        <v>35848.852</v>
      </c>
      <c r="Q58" s="32"/>
      <c r="R58" s="34">
        <f t="shared" si="1"/>
        <v>30855.780000000006</v>
      </c>
      <c r="S58" s="19"/>
      <c r="T58" s="19"/>
      <c r="U58" s="19"/>
      <c r="V58" s="19"/>
      <c r="W58" s="19"/>
      <c r="X58" s="19"/>
      <c r="Y58" s="32">
        <f t="shared" si="12"/>
        <v>0</v>
      </c>
      <c r="Z58" s="32">
        <f t="shared" si="2"/>
        <v>12944.376</v>
      </c>
      <c r="AA58" s="32"/>
      <c r="AB58" s="32">
        <f t="shared" si="16"/>
        <v>4916.856</v>
      </c>
      <c r="AC58" s="34">
        <f t="shared" si="3"/>
        <v>2343.76</v>
      </c>
      <c r="AD58" s="8"/>
      <c r="AE58" s="8"/>
      <c r="AF58" s="34"/>
      <c r="AG58" s="32">
        <f t="shared" si="4"/>
        <v>11840.592</v>
      </c>
      <c r="AH58" s="32">
        <v>57500</v>
      </c>
      <c r="AI58" s="32">
        <f t="shared" si="13"/>
        <v>156250.21600000001</v>
      </c>
    </row>
    <row r="59" spans="1:35" ht="15.75">
      <c r="A59" s="3" t="s">
        <v>45</v>
      </c>
      <c r="B59" s="4" t="s">
        <v>52</v>
      </c>
      <c r="C59" s="3" t="s">
        <v>2</v>
      </c>
      <c r="D59" s="26">
        <v>1330.7</v>
      </c>
      <c r="E59" s="19">
        <f t="shared" si="5"/>
        <v>5748.624</v>
      </c>
      <c r="F59" s="19">
        <f t="shared" si="6"/>
        <v>19002.396</v>
      </c>
      <c r="G59" s="19">
        <f t="shared" si="7"/>
        <v>18842.712</v>
      </c>
      <c r="H59" s="19">
        <f t="shared" si="8"/>
        <v>4151.784000000001</v>
      </c>
      <c r="I59" s="19">
        <f t="shared" si="9"/>
        <v>958.104</v>
      </c>
      <c r="J59" s="19">
        <f t="shared" si="10"/>
        <v>2874.312</v>
      </c>
      <c r="K59" s="19">
        <f>18*8*4+18*6*2</f>
        <v>792</v>
      </c>
      <c r="L59" s="8">
        <f>144.73*3</f>
        <v>434.18999999999994</v>
      </c>
      <c r="M59" s="8"/>
      <c r="N59" s="8">
        <f>931*20.77</f>
        <v>19336.87</v>
      </c>
      <c r="O59" s="24">
        <f t="shared" si="0"/>
        <v>3659.4250000000006</v>
      </c>
      <c r="P59" s="32">
        <f t="shared" si="11"/>
        <v>75800.417</v>
      </c>
      <c r="Q59" s="32"/>
      <c r="R59" s="34">
        <f t="shared" si="1"/>
        <v>49102.83</v>
      </c>
      <c r="S59" s="19"/>
      <c r="T59" s="19"/>
      <c r="U59" s="19"/>
      <c r="V59" s="19">
        <f>156*150</f>
        <v>23400</v>
      </c>
      <c r="W59" s="19"/>
      <c r="X59" s="19"/>
      <c r="Y59" s="32">
        <f t="shared" si="12"/>
        <v>23400</v>
      </c>
      <c r="Z59" s="32">
        <f t="shared" si="2"/>
        <v>20599.236</v>
      </c>
      <c r="AA59" s="32"/>
      <c r="AB59" s="32">
        <f t="shared" si="16"/>
        <v>7824.516</v>
      </c>
      <c r="AC59" s="34">
        <f t="shared" si="3"/>
        <v>3728.3600000000006</v>
      </c>
      <c r="AD59" s="8"/>
      <c r="AE59" s="8"/>
      <c r="AF59" s="34"/>
      <c r="AG59" s="32">
        <f t="shared" si="4"/>
        <v>18842.712</v>
      </c>
      <c r="AH59" s="32">
        <v>57500</v>
      </c>
      <c r="AI59" s="32">
        <f t="shared" si="13"/>
        <v>256798.071</v>
      </c>
    </row>
    <row r="60" spans="1:35" ht="15.75">
      <c r="A60" s="3" t="s">
        <v>45</v>
      </c>
      <c r="B60" s="4" t="s">
        <v>53</v>
      </c>
      <c r="C60" s="3" t="s">
        <v>2</v>
      </c>
      <c r="D60" s="26">
        <v>1251.5</v>
      </c>
      <c r="E60" s="19">
        <f t="shared" si="5"/>
        <v>5406.48</v>
      </c>
      <c r="F60" s="19">
        <f t="shared" si="6"/>
        <v>17871.42</v>
      </c>
      <c r="G60" s="19">
        <f t="shared" si="7"/>
        <v>17721.239999999998</v>
      </c>
      <c r="H60" s="19">
        <f t="shared" si="8"/>
        <v>3904.68</v>
      </c>
      <c r="I60" s="19">
        <f t="shared" si="9"/>
        <v>901.08</v>
      </c>
      <c r="J60" s="19">
        <f t="shared" si="10"/>
        <v>2703.24</v>
      </c>
      <c r="K60" s="19">
        <f>24*8*4+24*6*2</f>
        <v>1056</v>
      </c>
      <c r="L60" s="8">
        <f>144.73*3</f>
        <v>434.18999999999994</v>
      </c>
      <c r="M60" s="8"/>
      <c r="N60" s="8">
        <f>1730*20.77</f>
        <v>35932.1</v>
      </c>
      <c r="O60" s="24">
        <f t="shared" si="0"/>
        <v>3441.625</v>
      </c>
      <c r="P60" s="32">
        <f t="shared" si="11"/>
        <v>89372.055</v>
      </c>
      <c r="Q60" s="32"/>
      <c r="R60" s="34">
        <f t="shared" si="1"/>
        <v>46180.35</v>
      </c>
      <c r="S60" s="19">
        <f>635.2*80</f>
        <v>50816</v>
      </c>
      <c r="T60" s="19"/>
      <c r="U60" s="19">
        <v>58100</v>
      </c>
      <c r="V60" s="19">
        <f>306*150</f>
        <v>45900</v>
      </c>
      <c r="W60" s="19">
        <f>3*220</f>
        <v>660</v>
      </c>
      <c r="X60" s="19"/>
      <c r="Y60" s="32">
        <f t="shared" si="12"/>
        <v>155476</v>
      </c>
      <c r="Z60" s="32">
        <f t="shared" si="2"/>
        <v>19373.22</v>
      </c>
      <c r="AA60" s="32"/>
      <c r="AB60" s="32">
        <f t="shared" si="16"/>
        <v>7358.82</v>
      </c>
      <c r="AC60" s="34">
        <f t="shared" si="3"/>
        <v>3506.6000000000004</v>
      </c>
      <c r="AD60" s="8"/>
      <c r="AE60" s="8"/>
      <c r="AF60" s="34"/>
      <c r="AG60" s="32">
        <f t="shared" si="4"/>
        <v>17721.239999999998</v>
      </c>
      <c r="AH60" s="32">
        <v>57500</v>
      </c>
      <c r="AI60" s="32">
        <f t="shared" si="13"/>
        <v>396488.285</v>
      </c>
    </row>
    <row r="61" spans="1:35" ht="15">
      <c r="A61" s="3" t="s">
        <v>45</v>
      </c>
      <c r="B61" s="4" t="s">
        <v>54</v>
      </c>
      <c r="C61" s="3" t="s">
        <v>2</v>
      </c>
      <c r="D61" s="28">
        <v>1770.8</v>
      </c>
      <c r="E61" s="19">
        <f t="shared" si="5"/>
        <v>7649.856</v>
      </c>
      <c r="F61" s="19">
        <f t="shared" si="6"/>
        <v>25287.023999999998</v>
      </c>
      <c r="G61" s="19">
        <f t="shared" si="7"/>
        <v>25074.528</v>
      </c>
      <c r="H61" s="19">
        <f t="shared" si="8"/>
        <v>5524.896000000001</v>
      </c>
      <c r="I61" s="19">
        <f t="shared" si="9"/>
        <v>1274.9759999999999</v>
      </c>
      <c r="J61" s="19">
        <f t="shared" si="10"/>
        <v>3824.928</v>
      </c>
      <c r="K61" s="19">
        <f>32*8*4+32*6*2</f>
        <v>1408</v>
      </c>
      <c r="L61" s="8">
        <f>144.73*3</f>
        <v>434.18999999999994</v>
      </c>
      <c r="M61" s="8"/>
      <c r="N61" s="8"/>
      <c r="O61" s="24">
        <f t="shared" si="0"/>
        <v>4869.700000000001</v>
      </c>
      <c r="P61" s="32">
        <f t="shared" si="11"/>
        <v>75348.098</v>
      </c>
      <c r="Q61" s="32">
        <f>D61*1.27*5+D61*1.34*7</f>
        <v>27854.684000000005</v>
      </c>
      <c r="R61" s="34">
        <f t="shared" si="1"/>
        <v>65342.52</v>
      </c>
      <c r="S61" s="19"/>
      <c r="T61" s="19"/>
      <c r="U61" s="19"/>
      <c r="V61" s="19">
        <f>234*150</f>
        <v>35100</v>
      </c>
      <c r="W61" s="19">
        <f>11*220</f>
        <v>2420</v>
      </c>
      <c r="X61" s="19"/>
      <c r="Y61" s="32">
        <f t="shared" si="12"/>
        <v>37520</v>
      </c>
      <c r="Z61" s="32">
        <f t="shared" si="2"/>
        <v>27411.983999999997</v>
      </c>
      <c r="AA61" s="32"/>
      <c r="AB61" s="32">
        <f t="shared" si="16"/>
        <v>10412.304</v>
      </c>
      <c r="AC61" s="34">
        <f t="shared" si="3"/>
        <v>4960.64</v>
      </c>
      <c r="AD61" s="8"/>
      <c r="AE61" s="8"/>
      <c r="AF61" s="34"/>
      <c r="AG61" s="32">
        <f t="shared" si="4"/>
        <v>25074.528</v>
      </c>
      <c r="AH61" s="32"/>
      <c r="AI61" s="32">
        <f t="shared" si="13"/>
        <v>273924.75800000003</v>
      </c>
    </row>
    <row r="62" spans="1:35" ht="15.75">
      <c r="A62" s="5" t="s">
        <v>55</v>
      </c>
      <c r="B62" s="5" t="s">
        <v>56</v>
      </c>
      <c r="C62" s="6" t="s">
        <v>2</v>
      </c>
      <c r="D62" s="29">
        <v>393.3</v>
      </c>
      <c r="E62" s="19">
        <f t="shared" si="5"/>
        <v>1699.056</v>
      </c>
      <c r="F62" s="19">
        <f t="shared" si="6"/>
        <v>5616.324</v>
      </c>
      <c r="G62" s="19">
        <f t="shared" si="7"/>
        <v>5569.128</v>
      </c>
      <c r="H62" s="19">
        <f t="shared" si="8"/>
        <v>1227.096</v>
      </c>
      <c r="I62" s="19">
        <f t="shared" si="9"/>
        <v>283.176</v>
      </c>
      <c r="J62" s="19">
        <f t="shared" si="10"/>
        <v>849.528</v>
      </c>
      <c r="K62" s="19">
        <f>8*6*2</f>
        <v>96</v>
      </c>
      <c r="L62" s="8"/>
      <c r="M62" s="8"/>
      <c r="N62" s="8"/>
      <c r="O62" s="24">
        <f t="shared" si="0"/>
        <v>1081.575</v>
      </c>
      <c r="P62" s="32">
        <f t="shared" si="11"/>
        <v>16421.882999999998</v>
      </c>
      <c r="Q62" s="32"/>
      <c r="R62" s="34">
        <f t="shared" si="1"/>
        <v>14512.770000000002</v>
      </c>
      <c r="S62" s="19"/>
      <c r="T62" s="19"/>
      <c r="U62" s="19"/>
      <c r="V62" s="19"/>
      <c r="W62" s="19"/>
      <c r="X62" s="19"/>
      <c r="Y62" s="32">
        <f t="shared" si="12"/>
        <v>0</v>
      </c>
      <c r="Z62" s="32">
        <f t="shared" si="2"/>
        <v>6088.284000000001</v>
      </c>
      <c r="AA62" s="32"/>
      <c r="AB62" s="32">
        <f t="shared" si="16"/>
        <v>2312.6040000000003</v>
      </c>
      <c r="AC62" s="34">
        <f t="shared" si="3"/>
        <v>1103.6400000000003</v>
      </c>
      <c r="AD62" s="8"/>
      <c r="AE62" s="8"/>
      <c r="AF62" s="34"/>
      <c r="AG62" s="32">
        <f t="shared" si="4"/>
        <v>5569.128</v>
      </c>
      <c r="AH62" s="32"/>
      <c r="AI62" s="32">
        <f t="shared" si="13"/>
        <v>46008.308999999994</v>
      </c>
    </row>
    <row r="63" spans="1:35" ht="15.75">
      <c r="A63" s="3" t="s">
        <v>55</v>
      </c>
      <c r="B63" s="4" t="s">
        <v>12</v>
      </c>
      <c r="C63" s="3" t="s">
        <v>2</v>
      </c>
      <c r="D63" s="26">
        <v>290.2</v>
      </c>
      <c r="E63" s="19">
        <f t="shared" si="5"/>
        <v>1253.664</v>
      </c>
      <c r="F63" s="19">
        <f t="shared" si="6"/>
        <v>4144.056</v>
      </c>
      <c r="G63" s="19">
        <f t="shared" si="7"/>
        <v>4109.232</v>
      </c>
      <c r="H63" s="19">
        <f t="shared" si="8"/>
        <v>905.424</v>
      </c>
      <c r="I63" s="19">
        <f t="shared" si="9"/>
        <v>208.944</v>
      </c>
      <c r="J63" s="19">
        <f t="shared" si="10"/>
        <v>626.832</v>
      </c>
      <c r="K63" s="19">
        <f>8*6*2</f>
        <v>96</v>
      </c>
      <c r="L63" s="8">
        <f>144.73*13</f>
        <v>1881.4899999999998</v>
      </c>
      <c r="M63" s="8"/>
      <c r="N63" s="8">
        <f>719*20.77</f>
        <v>14933.63</v>
      </c>
      <c r="O63" s="24">
        <f t="shared" si="0"/>
        <v>798.0500000000001</v>
      </c>
      <c r="P63" s="32">
        <f t="shared" si="11"/>
        <v>28957.321999999996</v>
      </c>
      <c r="Q63" s="32"/>
      <c r="R63" s="34">
        <f t="shared" si="1"/>
        <v>10708.38</v>
      </c>
      <c r="S63" s="19">
        <f>225.9*80+41*700</f>
        <v>46772</v>
      </c>
      <c r="T63" s="19"/>
      <c r="U63" s="19"/>
      <c r="V63" s="19"/>
      <c r="W63" s="19"/>
      <c r="X63" s="19">
        <v>47600</v>
      </c>
      <c r="Y63" s="32">
        <f t="shared" si="12"/>
        <v>94372</v>
      </c>
      <c r="Z63" s="32">
        <f t="shared" si="2"/>
        <v>4492.296</v>
      </c>
      <c r="AA63" s="32"/>
      <c r="AB63" s="32">
        <f t="shared" si="16"/>
        <v>1706.3759999999997</v>
      </c>
      <c r="AC63" s="34">
        <f t="shared" si="3"/>
        <v>814.9599999999999</v>
      </c>
      <c r="AD63" s="8"/>
      <c r="AE63" s="8"/>
      <c r="AF63" s="34"/>
      <c r="AG63" s="32">
        <f t="shared" si="4"/>
        <v>4109.232</v>
      </c>
      <c r="AH63" s="32"/>
      <c r="AI63" s="32">
        <f t="shared" si="13"/>
        <v>145160.56599999996</v>
      </c>
    </row>
    <row r="64" spans="1:35" ht="15.75">
      <c r="A64" s="3" t="s">
        <v>55</v>
      </c>
      <c r="B64" s="4" t="s">
        <v>13</v>
      </c>
      <c r="C64" s="3" t="s">
        <v>2</v>
      </c>
      <c r="D64" s="26">
        <v>295.9</v>
      </c>
      <c r="E64" s="19">
        <f t="shared" si="5"/>
        <v>1278.2879999999998</v>
      </c>
      <c r="F64" s="19">
        <f t="shared" si="6"/>
        <v>4225.451999999999</v>
      </c>
      <c r="G64" s="19">
        <f t="shared" si="7"/>
        <v>4189.9439999999995</v>
      </c>
      <c r="H64" s="19">
        <f t="shared" si="8"/>
        <v>923.208</v>
      </c>
      <c r="I64" s="19">
        <f t="shared" si="9"/>
        <v>213.04799999999997</v>
      </c>
      <c r="J64" s="19">
        <f t="shared" si="10"/>
        <v>639.1439999999999</v>
      </c>
      <c r="K64" s="19">
        <f>8*6*2</f>
        <v>96</v>
      </c>
      <c r="L64" s="8">
        <f>144.73*13</f>
        <v>1881.4899999999998</v>
      </c>
      <c r="M64" s="8"/>
      <c r="N64" s="8">
        <f>276*20.77</f>
        <v>5732.5199999999995</v>
      </c>
      <c r="O64" s="24">
        <f t="shared" si="0"/>
        <v>813.725</v>
      </c>
      <c r="P64" s="32">
        <f t="shared" si="11"/>
        <v>19992.818999999996</v>
      </c>
      <c r="Q64" s="32"/>
      <c r="R64" s="34">
        <f t="shared" si="1"/>
        <v>10918.71</v>
      </c>
      <c r="S64" s="19">
        <f>220.8*80+64*700</f>
        <v>62464</v>
      </c>
      <c r="T64" s="19"/>
      <c r="U64" s="19"/>
      <c r="V64" s="19"/>
      <c r="W64" s="19"/>
      <c r="X64" s="19">
        <v>59000</v>
      </c>
      <c r="Y64" s="32">
        <f t="shared" si="12"/>
        <v>121464</v>
      </c>
      <c r="Z64" s="32">
        <f t="shared" si="2"/>
        <v>4580.531999999999</v>
      </c>
      <c r="AA64" s="32"/>
      <c r="AB64" s="32">
        <f t="shared" si="16"/>
        <v>1739.8919999999998</v>
      </c>
      <c r="AC64" s="34">
        <f t="shared" si="3"/>
        <v>830.92</v>
      </c>
      <c r="AD64" s="8"/>
      <c r="AE64" s="8"/>
      <c r="AF64" s="34"/>
      <c r="AG64" s="32">
        <f t="shared" si="4"/>
        <v>4189.9439999999995</v>
      </c>
      <c r="AH64" s="32"/>
      <c r="AI64" s="32">
        <f t="shared" si="13"/>
        <v>163716.81699999998</v>
      </c>
    </row>
    <row r="65" spans="1:35" ht="15.75">
      <c r="A65" s="3" t="s">
        <v>58</v>
      </c>
      <c r="B65" s="4" t="s">
        <v>39</v>
      </c>
      <c r="C65" s="3" t="s">
        <v>2</v>
      </c>
      <c r="D65" s="26">
        <v>1286.3</v>
      </c>
      <c r="E65" s="19">
        <f t="shared" si="5"/>
        <v>5556.816</v>
      </c>
      <c r="F65" s="19">
        <f t="shared" si="6"/>
        <v>18368.363999999998</v>
      </c>
      <c r="G65" s="19">
        <f t="shared" si="7"/>
        <v>18214.007999999998</v>
      </c>
      <c r="H65" s="19">
        <f t="shared" si="8"/>
        <v>4013.256</v>
      </c>
      <c r="I65" s="19">
        <f t="shared" si="9"/>
        <v>926.136</v>
      </c>
      <c r="J65" s="19">
        <f t="shared" si="10"/>
        <v>2778.408</v>
      </c>
      <c r="K65" s="19">
        <f>32*8*4+32*6*2</f>
        <v>1408</v>
      </c>
      <c r="L65" s="8">
        <f>144.73*3</f>
        <v>434.18999999999994</v>
      </c>
      <c r="M65" s="8"/>
      <c r="N65" s="8"/>
      <c r="O65" s="24">
        <f t="shared" si="0"/>
        <v>3537.3250000000003</v>
      </c>
      <c r="P65" s="32">
        <f t="shared" si="11"/>
        <v>55236.503</v>
      </c>
      <c r="Q65" s="32">
        <f>D65*1.27*5+D65*1.34*7</f>
        <v>20233.499</v>
      </c>
      <c r="R65" s="34">
        <f t="shared" si="1"/>
        <v>47464.47</v>
      </c>
      <c r="S65" s="19"/>
      <c r="T65" s="19"/>
      <c r="U65" s="19"/>
      <c r="V65" s="19">
        <f>128*150</f>
        <v>19200</v>
      </c>
      <c r="W65" s="19"/>
      <c r="X65" s="19"/>
      <c r="Y65" s="32">
        <f t="shared" si="12"/>
        <v>19200</v>
      </c>
      <c r="Z65" s="32">
        <f t="shared" si="2"/>
        <v>19911.924</v>
      </c>
      <c r="AA65" s="32"/>
      <c r="AB65" s="32">
        <f t="shared" si="16"/>
        <v>7563.4439999999995</v>
      </c>
      <c r="AC65" s="34">
        <f t="shared" si="3"/>
        <v>3604.04</v>
      </c>
      <c r="AD65" s="8"/>
      <c r="AE65" s="8"/>
      <c r="AF65" s="34"/>
      <c r="AG65" s="32">
        <f t="shared" si="4"/>
        <v>18214.007999999998</v>
      </c>
      <c r="AH65" s="32">
        <v>57500</v>
      </c>
      <c r="AI65" s="32">
        <f t="shared" si="13"/>
        <v>248927.888</v>
      </c>
    </row>
    <row r="66" spans="1:35" ht="15.75">
      <c r="A66" s="3" t="s">
        <v>58</v>
      </c>
      <c r="B66" s="4" t="s">
        <v>59</v>
      </c>
      <c r="C66" s="3" t="s">
        <v>2</v>
      </c>
      <c r="D66" s="26">
        <v>583.1</v>
      </c>
      <c r="E66" s="19">
        <f t="shared" si="5"/>
        <v>2518.992</v>
      </c>
      <c r="F66" s="19">
        <f t="shared" si="6"/>
        <v>8326.668</v>
      </c>
      <c r="G66" s="19">
        <f t="shared" si="7"/>
        <v>8256.696</v>
      </c>
      <c r="H66" s="19">
        <f t="shared" si="8"/>
        <v>1819.2720000000004</v>
      </c>
      <c r="I66" s="19">
        <f t="shared" si="9"/>
        <v>419.832</v>
      </c>
      <c r="J66" s="19">
        <f t="shared" si="10"/>
        <v>1259.496</v>
      </c>
      <c r="K66" s="19">
        <f>6*6*2</f>
        <v>72</v>
      </c>
      <c r="L66" s="8">
        <f>144.73*20</f>
        <v>2894.6</v>
      </c>
      <c r="M66" s="8"/>
      <c r="N66" s="8"/>
      <c r="O66" s="24">
        <f t="shared" si="0"/>
        <v>1603.525</v>
      </c>
      <c r="P66" s="32">
        <f t="shared" si="11"/>
        <v>27171.081</v>
      </c>
      <c r="Q66" s="32"/>
      <c r="R66" s="34">
        <f t="shared" si="1"/>
        <v>21516.390000000003</v>
      </c>
      <c r="S66" s="19"/>
      <c r="T66" s="19"/>
      <c r="U66" s="19"/>
      <c r="V66" s="19">
        <f>125*150</f>
        <v>18750</v>
      </c>
      <c r="W66" s="19"/>
      <c r="X66" s="19"/>
      <c r="Y66" s="32">
        <f t="shared" si="12"/>
        <v>18750</v>
      </c>
      <c r="Z66" s="32">
        <f t="shared" si="2"/>
        <v>9026.388</v>
      </c>
      <c r="AA66" s="32"/>
      <c r="AB66" s="32">
        <f t="shared" si="16"/>
        <v>3428.6279999999997</v>
      </c>
      <c r="AC66" s="34">
        <f t="shared" si="3"/>
        <v>1635.0800000000002</v>
      </c>
      <c r="AD66" s="8"/>
      <c r="AE66" s="8"/>
      <c r="AF66" s="34"/>
      <c r="AG66" s="32">
        <f t="shared" si="4"/>
        <v>8256.696</v>
      </c>
      <c r="AH66" s="32">
        <v>57500</v>
      </c>
      <c r="AI66" s="32">
        <f t="shared" si="13"/>
        <v>147284.263</v>
      </c>
    </row>
    <row r="67" spans="1:35" ht="15.75">
      <c r="A67" s="3" t="s">
        <v>58</v>
      </c>
      <c r="B67" s="4" t="s">
        <v>60</v>
      </c>
      <c r="C67" s="3" t="s">
        <v>2</v>
      </c>
      <c r="D67" s="26">
        <v>1346.8</v>
      </c>
      <c r="E67" s="19">
        <f t="shared" si="5"/>
        <v>5818.1759999999995</v>
      </c>
      <c r="F67" s="19">
        <f t="shared" si="6"/>
        <v>19232.303999999996</v>
      </c>
      <c r="G67" s="19">
        <f t="shared" si="7"/>
        <v>19070.688</v>
      </c>
      <c r="H67" s="19">
        <f t="shared" si="8"/>
        <v>4202.016</v>
      </c>
      <c r="I67" s="19">
        <f t="shared" si="9"/>
        <v>969.6959999999999</v>
      </c>
      <c r="J67" s="19">
        <f t="shared" si="10"/>
        <v>2909.0879999999997</v>
      </c>
      <c r="K67" s="19">
        <f>17*8*4+17*6*2</f>
        <v>748</v>
      </c>
      <c r="L67" s="8">
        <f>144.73*23</f>
        <v>3328.79</v>
      </c>
      <c r="M67" s="8"/>
      <c r="N67" s="8"/>
      <c r="O67" s="24">
        <f aca="true" t="shared" si="17" ref="O67:O130">D67*0.55*5</f>
        <v>3703.7</v>
      </c>
      <c r="P67" s="32">
        <f t="shared" si="11"/>
        <v>59982.45799999999</v>
      </c>
      <c r="Q67" s="32"/>
      <c r="R67" s="34">
        <f aca="true" t="shared" si="18" ref="R67:R130">D67*3.18*5+D67*3*7</f>
        <v>49696.92</v>
      </c>
      <c r="S67" s="19"/>
      <c r="T67" s="19"/>
      <c r="U67" s="19">
        <v>29050</v>
      </c>
      <c r="V67" s="19">
        <f>155*150</f>
        <v>23250</v>
      </c>
      <c r="W67" s="19"/>
      <c r="X67" s="19"/>
      <c r="Y67" s="32">
        <f t="shared" si="12"/>
        <v>52300</v>
      </c>
      <c r="Z67" s="32">
        <f aca="true" t="shared" si="19" ref="Z67:Z130">D67*1.29*12</f>
        <v>20848.464</v>
      </c>
      <c r="AA67" s="32"/>
      <c r="AB67" s="32">
        <f t="shared" si="16"/>
        <v>7919.184</v>
      </c>
      <c r="AC67" s="34">
        <f aca="true" t="shared" si="20" ref="AC67:AC130">D67*0.4*7+0.48*5</f>
        <v>3773.44</v>
      </c>
      <c r="AD67" s="8"/>
      <c r="AE67" s="8"/>
      <c r="AF67" s="34"/>
      <c r="AG67" s="32">
        <f aca="true" t="shared" si="21" ref="AG67:AG130">D67*1.18*12</f>
        <v>19070.688</v>
      </c>
      <c r="AH67" s="32">
        <v>57500</v>
      </c>
      <c r="AI67" s="32">
        <f t="shared" si="13"/>
        <v>271091.154</v>
      </c>
    </row>
    <row r="68" spans="1:35" ht="15.75">
      <c r="A68" s="3" t="s">
        <v>58</v>
      </c>
      <c r="B68" s="4" t="s">
        <v>15</v>
      </c>
      <c r="C68" s="3" t="s">
        <v>2</v>
      </c>
      <c r="D68" s="26">
        <v>2024.5</v>
      </c>
      <c r="E68" s="19">
        <f aca="true" t="shared" si="22" ref="E68:E131">D68*0.36*12</f>
        <v>8745.84</v>
      </c>
      <c r="F68" s="19">
        <f aca="true" t="shared" si="23" ref="F68:F131">D68*1.19*12</f>
        <v>28909.859999999997</v>
      </c>
      <c r="G68" s="19">
        <f aca="true" t="shared" si="24" ref="G68:G131">D68*1.18*12</f>
        <v>28666.92</v>
      </c>
      <c r="H68" s="19">
        <f aca="true" t="shared" si="25" ref="H68:H131">D68*0.26*12</f>
        <v>6316.4400000000005</v>
      </c>
      <c r="I68" s="19">
        <f aca="true" t="shared" si="26" ref="I68:I131">D68*0.06*12</f>
        <v>1457.6399999999999</v>
      </c>
      <c r="J68" s="19">
        <f aca="true" t="shared" si="27" ref="J68:J131">D68*0.18*12</f>
        <v>4372.92</v>
      </c>
      <c r="K68" s="19">
        <f>48*8+48*6*2</f>
        <v>960</v>
      </c>
      <c r="L68" s="8">
        <f>144.73*3</f>
        <v>434.18999999999994</v>
      </c>
      <c r="M68" s="8"/>
      <c r="N68" s="8"/>
      <c r="O68" s="24">
        <f t="shared" si="17"/>
        <v>5567.375000000001</v>
      </c>
      <c r="P68" s="32">
        <f aca="true" t="shared" si="28" ref="P68:P131">SUM(E68:O68)</f>
        <v>85431.185</v>
      </c>
      <c r="Q68" s="32">
        <f>D68*1.27*5+D68*1.34*7</f>
        <v>31845.385000000002</v>
      </c>
      <c r="R68" s="34">
        <f t="shared" si="18"/>
        <v>74704.05</v>
      </c>
      <c r="S68" s="19"/>
      <c r="T68" s="19"/>
      <c r="U68" s="19"/>
      <c r="V68" s="19"/>
      <c r="W68" s="19"/>
      <c r="X68" s="19"/>
      <c r="Y68" s="32">
        <f aca="true" t="shared" si="29" ref="Y68:Y131">SUM(S68:X68)</f>
        <v>0</v>
      </c>
      <c r="Z68" s="32">
        <f t="shared" si="19"/>
        <v>31339.260000000002</v>
      </c>
      <c r="AA68" s="32"/>
      <c r="AB68" s="32">
        <f t="shared" si="16"/>
        <v>11904.06</v>
      </c>
      <c r="AC68" s="34">
        <f t="shared" si="20"/>
        <v>5671</v>
      </c>
      <c r="AD68" s="8"/>
      <c r="AE68" s="8"/>
      <c r="AF68" s="34"/>
      <c r="AG68" s="32">
        <f t="shared" si="21"/>
        <v>28666.92</v>
      </c>
      <c r="AH68" s="32">
        <v>57500</v>
      </c>
      <c r="AI68" s="32">
        <f aca="true" t="shared" si="30" ref="AI68:AI131">P68+Q68+R68+Y68+Z68+AA68+AB68+AC68+AF68+AG68+AH68</f>
        <v>327061.86</v>
      </c>
    </row>
    <row r="69" spans="1:35" ht="15.75">
      <c r="A69" s="3" t="s">
        <v>58</v>
      </c>
      <c r="B69" s="4" t="s">
        <v>17</v>
      </c>
      <c r="C69" s="3" t="s">
        <v>2</v>
      </c>
      <c r="D69" s="26">
        <v>2353</v>
      </c>
      <c r="E69" s="19">
        <f t="shared" si="22"/>
        <v>10164.96</v>
      </c>
      <c r="F69" s="19">
        <f t="shared" si="23"/>
        <v>33600.84</v>
      </c>
      <c r="G69" s="19">
        <f t="shared" si="24"/>
        <v>33318.479999999996</v>
      </c>
      <c r="H69" s="19">
        <f t="shared" si="25"/>
        <v>7341.36</v>
      </c>
      <c r="I69" s="19">
        <f t="shared" si="26"/>
        <v>1694.16</v>
      </c>
      <c r="J69" s="19">
        <f t="shared" si="27"/>
        <v>5082.48</v>
      </c>
      <c r="K69" s="19">
        <f>56*8+56*6*2</f>
        <v>1120</v>
      </c>
      <c r="L69" s="8">
        <f>144.73*3</f>
        <v>434.18999999999994</v>
      </c>
      <c r="M69" s="8"/>
      <c r="N69" s="8">
        <f>884*20.77</f>
        <v>18360.68</v>
      </c>
      <c r="O69" s="24">
        <f t="shared" si="17"/>
        <v>6470.75</v>
      </c>
      <c r="P69" s="32">
        <f t="shared" si="28"/>
        <v>117587.9</v>
      </c>
      <c r="Q69" s="32">
        <f>D69*1.27*5+D69*1.34*7</f>
        <v>37012.69</v>
      </c>
      <c r="R69" s="34">
        <f t="shared" si="18"/>
        <v>86825.7</v>
      </c>
      <c r="S69" s="19"/>
      <c r="T69" s="19"/>
      <c r="U69" s="19"/>
      <c r="V69" s="19"/>
      <c r="W69" s="19"/>
      <c r="X69" s="19"/>
      <c r="Y69" s="32">
        <f t="shared" si="29"/>
        <v>0</v>
      </c>
      <c r="Z69" s="32">
        <f t="shared" si="19"/>
        <v>36424.44</v>
      </c>
      <c r="AA69" s="32"/>
      <c r="AB69" s="32">
        <f t="shared" si="16"/>
        <v>13835.64</v>
      </c>
      <c r="AC69" s="34">
        <f t="shared" si="20"/>
        <v>6590.8</v>
      </c>
      <c r="AD69" s="8"/>
      <c r="AE69" s="8"/>
      <c r="AF69" s="34"/>
      <c r="AG69" s="32">
        <f t="shared" si="21"/>
        <v>33318.479999999996</v>
      </c>
      <c r="AH69" s="32">
        <v>57500</v>
      </c>
      <c r="AI69" s="32">
        <f t="shared" si="30"/>
        <v>389095.64999999997</v>
      </c>
    </row>
    <row r="70" spans="1:35" ht="15.75">
      <c r="A70" s="3" t="s">
        <v>58</v>
      </c>
      <c r="B70" s="4" t="s">
        <v>61</v>
      </c>
      <c r="C70" s="3" t="s">
        <v>2</v>
      </c>
      <c r="D70" s="26">
        <v>504.1</v>
      </c>
      <c r="E70" s="19">
        <f t="shared" si="22"/>
        <v>2177.712</v>
      </c>
      <c r="F70" s="19">
        <f t="shared" si="23"/>
        <v>7198.548000000001</v>
      </c>
      <c r="G70" s="19">
        <f t="shared" si="24"/>
        <v>7138.056</v>
      </c>
      <c r="H70" s="19">
        <f t="shared" si="25"/>
        <v>1572.792</v>
      </c>
      <c r="I70" s="19">
        <f t="shared" si="26"/>
        <v>362.952</v>
      </c>
      <c r="J70" s="19">
        <f t="shared" si="27"/>
        <v>1088.856</v>
      </c>
      <c r="K70" s="19">
        <f>8*8*4+8*6*2</f>
        <v>352</v>
      </c>
      <c r="L70" s="8">
        <f>144.73*12</f>
        <v>1736.7599999999998</v>
      </c>
      <c r="M70" s="8"/>
      <c r="N70" s="8">
        <f>415*20.77</f>
        <v>8619.55</v>
      </c>
      <c r="O70" s="24">
        <f t="shared" si="17"/>
        <v>1386.2750000000003</v>
      </c>
      <c r="P70" s="32">
        <f t="shared" si="28"/>
        <v>31633.501</v>
      </c>
      <c r="Q70" s="32"/>
      <c r="R70" s="34">
        <f t="shared" si="18"/>
        <v>18601.290000000005</v>
      </c>
      <c r="S70" s="19"/>
      <c r="T70" s="19"/>
      <c r="U70" s="19"/>
      <c r="V70" s="19"/>
      <c r="W70" s="19"/>
      <c r="X70" s="19"/>
      <c r="Y70" s="32">
        <f t="shared" si="29"/>
        <v>0</v>
      </c>
      <c r="Z70" s="32">
        <f t="shared" si="19"/>
        <v>7803.468000000001</v>
      </c>
      <c r="AA70" s="32"/>
      <c r="AB70" s="32">
        <f t="shared" si="16"/>
        <v>2964.108</v>
      </c>
      <c r="AC70" s="34">
        <f t="shared" si="20"/>
        <v>1413.88</v>
      </c>
      <c r="AD70" s="8"/>
      <c r="AE70" s="8"/>
      <c r="AF70" s="34"/>
      <c r="AG70" s="32">
        <f t="shared" si="21"/>
        <v>7138.056</v>
      </c>
      <c r="AH70" s="32">
        <v>57500</v>
      </c>
      <c r="AI70" s="32">
        <f t="shared" si="30"/>
        <v>127054.303</v>
      </c>
    </row>
    <row r="71" spans="1:35" ht="15.75">
      <c r="A71" s="3" t="s">
        <v>62</v>
      </c>
      <c r="B71" s="4" t="s">
        <v>35</v>
      </c>
      <c r="C71" s="3" t="s">
        <v>2</v>
      </c>
      <c r="D71" s="29">
        <v>90</v>
      </c>
      <c r="E71" s="19">
        <f t="shared" si="22"/>
        <v>388.79999999999995</v>
      </c>
      <c r="F71" s="19">
        <f t="shared" si="23"/>
        <v>1285.1999999999998</v>
      </c>
      <c r="G71" s="19">
        <f t="shared" si="24"/>
        <v>1274.3999999999999</v>
      </c>
      <c r="H71" s="19">
        <f t="shared" si="25"/>
        <v>280.8</v>
      </c>
      <c r="I71" s="19">
        <f t="shared" si="26"/>
        <v>64.8</v>
      </c>
      <c r="J71" s="19">
        <f t="shared" si="27"/>
        <v>194.39999999999998</v>
      </c>
      <c r="K71" s="19">
        <v>1150</v>
      </c>
      <c r="L71" s="8"/>
      <c r="M71" s="8"/>
      <c r="N71" s="8"/>
      <c r="O71" s="24">
        <f t="shared" si="17"/>
        <v>247.50000000000003</v>
      </c>
      <c r="P71" s="32">
        <f t="shared" si="28"/>
        <v>4885.9</v>
      </c>
      <c r="Q71" s="32"/>
      <c r="R71" s="34">
        <f t="shared" si="18"/>
        <v>3321</v>
      </c>
      <c r="S71" s="19"/>
      <c r="T71" s="19"/>
      <c r="U71" s="19"/>
      <c r="V71" s="19"/>
      <c r="W71" s="19"/>
      <c r="X71" s="19"/>
      <c r="Y71" s="32">
        <f t="shared" si="29"/>
        <v>0</v>
      </c>
      <c r="Z71" s="32">
        <f t="shared" si="19"/>
        <v>1393.2</v>
      </c>
      <c r="AA71" s="32"/>
      <c r="AB71" s="32">
        <f t="shared" si="16"/>
        <v>529.2</v>
      </c>
      <c r="AC71" s="34">
        <f t="shared" si="20"/>
        <v>254.4</v>
      </c>
      <c r="AD71" s="8"/>
      <c r="AE71" s="8"/>
      <c r="AF71" s="34"/>
      <c r="AG71" s="32">
        <f t="shared" si="21"/>
        <v>1274.3999999999999</v>
      </c>
      <c r="AH71" s="32"/>
      <c r="AI71" s="32">
        <f t="shared" si="30"/>
        <v>11658.1</v>
      </c>
    </row>
    <row r="72" spans="1:35" ht="15.75">
      <c r="A72" s="3" t="s">
        <v>63</v>
      </c>
      <c r="B72" s="4" t="s">
        <v>34</v>
      </c>
      <c r="C72" s="3" t="s">
        <v>2</v>
      </c>
      <c r="D72" s="26">
        <v>2717.6</v>
      </c>
      <c r="E72" s="19">
        <f t="shared" si="22"/>
        <v>11740.032</v>
      </c>
      <c r="F72" s="19">
        <f t="shared" si="23"/>
        <v>38807.328</v>
      </c>
      <c r="G72" s="19">
        <f t="shared" si="24"/>
        <v>38481.21599999999</v>
      </c>
      <c r="H72" s="19">
        <f t="shared" si="25"/>
        <v>8478.912</v>
      </c>
      <c r="I72" s="19">
        <f t="shared" si="26"/>
        <v>1956.6719999999998</v>
      </c>
      <c r="J72" s="19">
        <f t="shared" si="27"/>
        <v>5870.016</v>
      </c>
      <c r="K72" s="19">
        <f>60*6*2</f>
        <v>720</v>
      </c>
      <c r="L72" s="8">
        <f>144.73*3</f>
        <v>434.18999999999994</v>
      </c>
      <c r="M72" s="8"/>
      <c r="N72" s="8"/>
      <c r="O72" s="24">
        <f t="shared" si="17"/>
        <v>7473.400000000001</v>
      </c>
      <c r="P72" s="32">
        <f t="shared" si="28"/>
        <v>113961.766</v>
      </c>
      <c r="Q72" s="32">
        <f>D72*1.27*5+D72*1.34*7</f>
        <v>42747.848</v>
      </c>
      <c r="R72" s="34">
        <f t="shared" si="18"/>
        <v>100279.44</v>
      </c>
      <c r="S72" s="19"/>
      <c r="T72" s="19"/>
      <c r="U72" s="19"/>
      <c r="V72" s="19"/>
      <c r="W72" s="19"/>
      <c r="X72" s="19">
        <v>14650</v>
      </c>
      <c r="Y72" s="32">
        <f t="shared" si="29"/>
        <v>14650</v>
      </c>
      <c r="Z72" s="32">
        <f t="shared" si="19"/>
        <v>42068.448000000004</v>
      </c>
      <c r="AA72" s="32"/>
      <c r="AB72" s="32">
        <f t="shared" si="16"/>
        <v>15979.488000000001</v>
      </c>
      <c r="AC72" s="34">
        <f t="shared" si="20"/>
        <v>7611.679999999999</v>
      </c>
      <c r="AD72" s="8"/>
      <c r="AE72" s="8"/>
      <c r="AF72" s="34"/>
      <c r="AG72" s="32">
        <f t="shared" si="21"/>
        <v>38481.21599999999</v>
      </c>
      <c r="AH72" s="32">
        <v>57500</v>
      </c>
      <c r="AI72" s="32">
        <f t="shared" si="30"/>
        <v>433279.886</v>
      </c>
    </row>
    <row r="73" spans="1:35" ht="15.75">
      <c r="A73" s="3" t="s">
        <v>63</v>
      </c>
      <c r="B73" s="4" t="s">
        <v>64</v>
      </c>
      <c r="C73" s="3" t="s">
        <v>2</v>
      </c>
      <c r="D73" s="26">
        <v>2698.4</v>
      </c>
      <c r="E73" s="19">
        <f t="shared" si="22"/>
        <v>11657.088</v>
      </c>
      <c r="F73" s="19">
        <f t="shared" si="23"/>
        <v>38533.152</v>
      </c>
      <c r="G73" s="19">
        <f t="shared" si="24"/>
        <v>38209.344</v>
      </c>
      <c r="H73" s="19">
        <f t="shared" si="25"/>
        <v>8419.008000000002</v>
      </c>
      <c r="I73" s="19">
        <f t="shared" si="26"/>
        <v>1942.848</v>
      </c>
      <c r="J73" s="19">
        <f t="shared" si="27"/>
        <v>5828.544</v>
      </c>
      <c r="K73" s="19">
        <f>60*6*2</f>
        <v>720</v>
      </c>
      <c r="L73" s="8">
        <f>144.73*3</f>
        <v>434.18999999999994</v>
      </c>
      <c r="M73" s="8"/>
      <c r="N73" s="8"/>
      <c r="O73" s="24">
        <f t="shared" si="17"/>
        <v>7420.6</v>
      </c>
      <c r="P73" s="32">
        <f t="shared" si="28"/>
        <v>113164.774</v>
      </c>
      <c r="Q73" s="32">
        <f>D73*1.27*5+D73*1.34*7</f>
        <v>42445.832</v>
      </c>
      <c r="R73" s="34">
        <f t="shared" si="18"/>
        <v>99570.96</v>
      </c>
      <c r="S73" s="19"/>
      <c r="T73" s="19"/>
      <c r="U73" s="19"/>
      <c r="V73" s="19"/>
      <c r="W73" s="19"/>
      <c r="X73" s="19">
        <v>108730</v>
      </c>
      <c r="Y73" s="32">
        <f t="shared" si="29"/>
        <v>108730</v>
      </c>
      <c r="Z73" s="32">
        <f t="shared" si="19"/>
        <v>41771.232</v>
      </c>
      <c r="AA73" s="32"/>
      <c r="AB73" s="32">
        <f t="shared" si="16"/>
        <v>15866.592</v>
      </c>
      <c r="AC73" s="34">
        <f t="shared" si="20"/>
        <v>7557.92</v>
      </c>
      <c r="AD73" s="8"/>
      <c r="AE73" s="8"/>
      <c r="AF73" s="34"/>
      <c r="AG73" s="32">
        <f t="shared" si="21"/>
        <v>38209.344</v>
      </c>
      <c r="AH73" s="32">
        <v>57500</v>
      </c>
      <c r="AI73" s="32">
        <f t="shared" si="30"/>
        <v>524816.654</v>
      </c>
    </row>
    <row r="74" spans="1:35" ht="15.75">
      <c r="A74" s="3" t="s">
        <v>63</v>
      </c>
      <c r="B74" s="4" t="s">
        <v>35</v>
      </c>
      <c r="C74" s="3" t="s">
        <v>2</v>
      </c>
      <c r="D74" s="26">
        <v>4512.9</v>
      </c>
      <c r="E74" s="19">
        <f t="shared" si="22"/>
        <v>19495.727999999996</v>
      </c>
      <c r="F74" s="19">
        <f t="shared" si="23"/>
        <v>64444.212</v>
      </c>
      <c r="G74" s="19">
        <f t="shared" si="24"/>
        <v>63902.66399999999</v>
      </c>
      <c r="H74" s="19">
        <f t="shared" si="25"/>
        <v>14080.248</v>
      </c>
      <c r="I74" s="19">
        <f t="shared" si="26"/>
        <v>3249.2879999999996</v>
      </c>
      <c r="J74" s="19">
        <f t="shared" si="27"/>
        <v>9747.863999999998</v>
      </c>
      <c r="K74" s="19">
        <f>90*6*2</f>
        <v>1080</v>
      </c>
      <c r="L74" s="8">
        <f>144.73*3</f>
        <v>434.18999999999994</v>
      </c>
      <c r="M74" s="8"/>
      <c r="N74" s="8"/>
      <c r="O74" s="24">
        <f t="shared" si="17"/>
        <v>12410.474999999999</v>
      </c>
      <c r="P74" s="32">
        <f t="shared" si="28"/>
        <v>188844.669</v>
      </c>
      <c r="Q74" s="32">
        <f>D74*1.27*5+D74*1.34*7</f>
        <v>70987.917</v>
      </c>
      <c r="R74" s="34">
        <f t="shared" si="18"/>
        <v>166526.01</v>
      </c>
      <c r="S74" s="19"/>
      <c r="T74" s="19"/>
      <c r="U74" s="19"/>
      <c r="V74" s="19"/>
      <c r="W74" s="19"/>
      <c r="X74" s="19"/>
      <c r="Y74" s="32">
        <f t="shared" si="29"/>
        <v>0</v>
      </c>
      <c r="Z74" s="32">
        <f t="shared" si="19"/>
        <v>69859.692</v>
      </c>
      <c r="AA74" s="32"/>
      <c r="AB74" s="32">
        <f t="shared" si="16"/>
        <v>26535.852</v>
      </c>
      <c r="AC74" s="34">
        <f t="shared" si="20"/>
        <v>12638.519999999999</v>
      </c>
      <c r="AD74" s="8"/>
      <c r="AE74" s="8"/>
      <c r="AF74" s="34"/>
      <c r="AG74" s="32">
        <f t="shared" si="21"/>
        <v>63902.66399999999</v>
      </c>
      <c r="AH74" s="32">
        <v>57500</v>
      </c>
      <c r="AI74" s="32">
        <f t="shared" si="30"/>
        <v>656795.324</v>
      </c>
    </row>
    <row r="75" spans="1:35" ht="15.75">
      <c r="A75" s="3" t="s">
        <v>63</v>
      </c>
      <c r="B75" s="4" t="s">
        <v>3</v>
      </c>
      <c r="C75" s="3" t="s">
        <v>2</v>
      </c>
      <c r="D75" s="26">
        <v>120.7</v>
      </c>
      <c r="E75" s="19">
        <f t="shared" si="22"/>
        <v>521.424</v>
      </c>
      <c r="F75" s="19">
        <f t="shared" si="23"/>
        <v>1723.596</v>
      </c>
      <c r="G75" s="19">
        <f t="shared" si="24"/>
        <v>1709.1119999999999</v>
      </c>
      <c r="H75" s="19">
        <f t="shared" si="25"/>
        <v>376.584</v>
      </c>
      <c r="I75" s="19">
        <f t="shared" si="26"/>
        <v>86.904</v>
      </c>
      <c r="J75" s="19">
        <f t="shared" si="27"/>
        <v>260.712</v>
      </c>
      <c r="K75" s="19">
        <f>2*230</f>
        <v>460</v>
      </c>
      <c r="L75" s="8"/>
      <c r="M75" s="8"/>
      <c r="N75" s="8"/>
      <c r="O75" s="24">
        <f t="shared" si="17"/>
        <v>331.925</v>
      </c>
      <c r="P75" s="32">
        <f t="shared" si="28"/>
        <v>5470.256999999999</v>
      </c>
      <c r="Q75" s="32"/>
      <c r="R75" s="34">
        <f t="shared" si="18"/>
        <v>4453.83</v>
      </c>
      <c r="S75" s="19"/>
      <c r="T75" s="19"/>
      <c r="U75" s="19"/>
      <c r="V75" s="19"/>
      <c r="W75" s="19"/>
      <c r="X75" s="19"/>
      <c r="Y75" s="32">
        <f t="shared" si="29"/>
        <v>0</v>
      </c>
      <c r="Z75" s="32">
        <f t="shared" si="19"/>
        <v>1868.4360000000001</v>
      </c>
      <c r="AA75" s="32"/>
      <c r="AB75" s="32">
        <f t="shared" si="16"/>
        <v>709.716</v>
      </c>
      <c r="AC75" s="34">
        <f t="shared" si="20"/>
        <v>340.36</v>
      </c>
      <c r="AD75" s="8"/>
      <c r="AE75" s="8"/>
      <c r="AF75" s="34"/>
      <c r="AG75" s="32">
        <f t="shared" si="21"/>
        <v>1709.1119999999999</v>
      </c>
      <c r="AH75" s="32"/>
      <c r="AI75" s="32">
        <f t="shared" si="30"/>
        <v>14551.711</v>
      </c>
    </row>
    <row r="76" spans="1:35" ht="15.75">
      <c r="A76" s="3" t="s">
        <v>63</v>
      </c>
      <c r="B76" s="4" t="s">
        <v>65</v>
      </c>
      <c r="C76" s="3" t="s">
        <v>2</v>
      </c>
      <c r="D76" s="26">
        <v>1535.3</v>
      </c>
      <c r="E76" s="19">
        <f t="shared" si="22"/>
        <v>6632.495999999999</v>
      </c>
      <c r="F76" s="19">
        <f t="shared" si="23"/>
        <v>21924.084</v>
      </c>
      <c r="G76" s="19">
        <f t="shared" si="24"/>
        <v>21739.847999999998</v>
      </c>
      <c r="H76" s="19">
        <f t="shared" si="25"/>
        <v>4790.136</v>
      </c>
      <c r="I76" s="19">
        <f t="shared" si="26"/>
        <v>1105.416</v>
      </c>
      <c r="J76" s="19">
        <f t="shared" si="27"/>
        <v>3316.2479999999996</v>
      </c>
      <c r="K76" s="19">
        <f>33*6*2</f>
        <v>396</v>
      </c>
      <c r="L76" s="8">
        <f>144.73*2</f>
        <v>289.46</v>
      </c>
      <c r="M76" s="8"/>
      <c r="N76" s="8"/>
      <c r="O76" s="24">
        <f t="shared" si="17"/>
        <v>4222.075000000001</v>
      </c>
      <c r="P76" s="32">
        <f t="shared" si="28"/>
        <v>64415.76299999999</v>
      </c>
      <c r="Q76" s="32">
        <f>D76*1.27*5+D76*1.34*7</f>
        <v>24150.269</v>
      </c>
      <c r="R76" s="34">
        <f t="shared" si="18"/>
        <v>56652.56999999999</v>
      </c>
      <c r="S76" s="19"/>
      <c r="T76" s="19"/>
      <c r="U76" s="19"/>
      <c r="V76" s="19"/>
      <c r="W76" s="19"/>
      <c r="X76" s="19"/>
      <c r="Y76" s="32">
        <f t="shared" si="29"/>
        <v>0</v>
      </c>
      <c r="Z76" s="32">
        <f t="shared" si="19"/>
        <v>23766.444</v>
      </c>
      <c r="AA76" s="32"/>
      <c r="AB76" s="32">
        <f t="shared" si="16"/>
        <v>9027.563999999998</v>
      </c>
      <c r="AC76" s="34">
        <f t="shared" si="20"/>
        <v>4301.24</v>
      </c>
      <c r="AD76" s="8">
        <v>59274.96</v>
      </c>
      <c r="AE76" s="8">
        <v>3475.88</v>
      </c>
      <c r="AF76" s="34">
        <f>SUM(AD76:AE76)</f>
        <v>62750.84</v>
      </c>
      <c r="AG76" s="32">
        <f t="shared" si="21"/>
        <v>21739.847999999998</v>
      </c>
      <c r="AH76" s="32"/>
      <c r="AI76" s="32">
        <f t="shared" si="30"/>
        <v>266804.53799999994</v>
      </c>
    </row>
    <row r="77" spans="1:35" ht="15.75">
      <c r="A77" s="3" t="s">
        <v>63</v>
      </c>
      <c r="B77" s="4" t="s">
        <v>65</v>
      </c>
      <c r="C77" s="3" t="s">
        <v>66</v>
      </c>
      <c r="D77" s="26">
        <v>1274</v>
      </c>
      <c r="E77" s="19">
        <f t="shared" si="22"/>
        <v>5503.68</v>
      </c>
      <c r="F77" s="19">
        <f t="shared" si="23"/>
        <v>18192.72</v>
      </c>
      <c r="G77" s="19">
        <f t="shared" si="24"/>
        <v>18039.84</v>
      </c>
      <c r="H77" s="19">
        <f t="shared" si="25"/>
        <v>3974.88</v>
      </c>
      <c r="I77" s="19">
        <f t="shared" si="26"/>
        <v>917.28</v>
      </c>
      <c r="J77" s="19">
        <f t="shared" si="27"/>
        <v>2751.84</v>
      </c>
      <c r="K77" s="19">
        <f>28*6*2</f>
        <v>336</v>
      </c>
      <c r="L77" s="8">
        <f>144.73*2</f>
        <v>289.46</v>
      </c>
      <c r="M77" s="8"/>
      <c r="N77" s="8"/>
      <c r="O77" s="24">
        <f t="shared" si="17"/>
        <v>3503.5</v>
      </c>
      <c r="P77" s="32">
        <f t="shared" si="28"/>
        <v>53509.200000000004</v>
      </c>
      <c r="Q77" s="32">
        <f>D77*1.27*5+D77*1.34*7</f>
        <v>20040.02</v>
      </c>
      <c r="R77" s="34">
        <f t="shared" si="18"/>
        <v>47010.600000000006</v>
      </c>
      <c r="S77" s="19"/>
      <c r="T77" s="19"/>
      <c r="U77" s="19"/>
      <c r="V77" s="19"/>
      <c r="W77" s="19"/>
      <c r="X77" s="19"/>
      <c r="Y77" s="32">
        <f t="shared" si="29"/>
        <v>0</v>
      </c>
      <c r="Z77" s="32">
        <f t="shared" si="19"/>
        <v>19721.52</v>
      </c>
      <c r="AA77" s="32"/>
      <c r="AB77" s="32">
        <f t="shared" si="16"/>
        <v>7491.12</v>
      </c>
      <c r="AC77" s="34">
        <f t="shared" si="20"/>
        <v>3569.6000000000004</v>
      </c>
      <c r="AD77" s="8"/>
      <c r="AE77" s="8"/>
      <c r="AF77" s="34"/>
      <c r="AG77" s="32">
        <f t="shared" si="21"/>
        <v>18039.84</v>
      </c>
      <c r="AH77" s="32"/>
      <c r="AI77" s="32">
        <f t="shared" si="30"/>
        <v>169381.9</v>
      </c>
    </row>
    <row r="78" spans="1:35" ht="15.75">
      <c r="A78" s="3" t="s">
        <v>63</v>
      </c>
      <c r="B78" s="4" t="s">
        <v>67</v>
      </c>
      <c r="C78" s="3" t="s">
        <v>2</v>
      </c>
      <c r="D78" s="26">
        <v>9523.6</v>
      </c>
      <c r="E78" s="19">
        <f t="shared" si="22"/>
        <v>41141.952000000005</v>
      </c>
      <c r="F78" s="19">
        <f t="shared" si="23"/>
        <v>135997.008</v>
      </c>
      <c r="G78" s="19">
        <f t="shared" si="24"/>
        <v>134854.176</v>
      </c>
      <c r="H78" s="19">
        <f t="shared" si="25"/>
        <v>29713.631999999998</v>
      </c>
      <c r="I78" s="19">
        <f t="shared" si="26"/>
        <v>6856.992</v>
      </c>
      <c r="J78" s="19">
        <f t="shared" si="27"/>
        <v>20570.976000000002</v>
      </c>
      <c r="K78" s="19">
        <f>180*6*2</f>
        <v>2160</v>
      </c>
      <c r="L78" s="8">
        <f>144.73*3</f>
        <v>434.18999999999994</v>
      </c>
      <c r="M78" s="8"/>
      <c r="N78" s="8"/>
      <c r="O78" s="24">
        <f t="shared" si="17"/>
        <v>26189.9</v>
      </c>
      <c r="P78" s="32">
        <f t="shared" si="28"/>
        <v>397918.8260000001</v>
      </c>
      <c r="Q78" s="32">
        <f>D78*1.27*5+D78*1.34*7</f>
        <v>149806.228</v>
      </c>
      <c r="R78" s="34">
        <f t="shared" si="18"/>
        <v>351420.8400000001</v>
      </c>
      <c r="S78" s="19">
        <f>271*120</f>
        <v>32520</v>
      </c>
      <c r="T78" s="19"/>
      <c r="U78" s="19"/>
      <c r="V78" s="19"/>
      <c r="W78" s="19">
        <f>4.6*220</f>
        <v>1011.9999999999999</v>
      </c>
      <c r="X78" s="19"/>
      <c r="Y78" s="32">
        <f t="shared" si="29"/>
        <v>33532</v>
      </c>
      <c r="Z78" s="32">
        <f t="shared" si="19"/>
        <v>147425.328</v>
      </c>
      <c r="AA78" s="32"/>
      <c r="AB78" s="32">
        <f t="shared" si="16"/>
        <v>55998.768000000004</v>
      </c>
      <c r="AC78" s="34">
        <f t="shared" si="20"/>
        <v>26668.480000000003</v>
      </c>
      <c r="AD78" s="8"/>
      <c r="AE78" s="8"/>
      <c r="AF78" s="34"/>
      <c r="AG78" s="32">
        <f t="shared" si="21"/>
        <v>134854.176</v>
      </c>
      <c r="AH78" s="32"/>
      <c r="AI78" s="32">
        <f t="shared" si="30"/>
        <v>1297624.6460000002</v>
      </c>
    </row>
    <row r="79" spans="1:35" ht="15.75">
      <c r="A79" s="5" t="s">
        <v>68</v>
      </c>
      <c r="B79" s="5" t="s">
        <v>1</v>
      </c>
      <c r="C79" s="6"/>
      <c r="D79" s="29">
        <v>66.6</v>
      </c>
      <c r="E79" s="19">
        <f t="shared" si="22"/>
        <v>287.71199999999993</v>
      </c>
      <c r="F79" s="19">
        <f t="shared" si="23"/>
        <v>951.0479999999999</v>
      </c>
      <c r="G79" s="19">
        <f t="shared" si="24"/>
        <v>943.0559999999999</v>
      </c>
      <c r="H79" s="19">
        <f t="shared" si="25"/>
        <v>207.79199999999997</v>
      </c>
      <c r="I79" s="19">
        <f t="shared" si="26"/>
        <v>47.952</v>
      </c>
      <c r="J79" s="19">
        <f t="shared" si="27"/>
        <v>143.85599999999997</v>
      </c>
      <c r="K79" s="19">
        <f>2*230</f>
        <v>460</v>
      </c>
      <c r="L79" s="8">
        <f>144.73*6</f>
        <v>868.3799999999999</v>
      </c>
      <c r="M79" s="8"/>
      <c r="N79" s="8"/>
      <c r="O79" s="24">
        <f t="shared" si="17"/>
        <v>183.15</v>
      </c>
      <c r="P79" s="32">
        <f t="shared" si="28"/>
        <v>4092.9459999999995</v>
      </c>
      <c r="Q79" s="32"/>
      <c r="R79" s="34">
        <f t="shared" si="18"/>
        <v>2457.54</v>
      </c>
      <c r="S79" s="19"/>
      <c r="T79" s="19"/>
      <c r="U79" s="19"/>
      <c r="V79" s="19"/>
      <c r="W79" s="19"/>
      <c r="X79" s="19"/>
      <c r="Y79" s="32">
        <f t="shared" si="29"/>
        <v>0</v>
      </c>
      <c r="Z79" s="32">
        <f t="shared" si="19"/>
        <v>1030.968</v>
      </c>
      <c r="AA79" s="32"/>
      <c r="AB79" s="32">
        <f t="shared" si="16"/>
        <v>391.60799999999995</v>
      </c>
      <c r="AC79" s="34">
        <f t="shared" si="20"/>
        <v>188.88000000000002</v>
      </c>
      <c r="AD79" s="8"/>
      <c r="AE79" s="8"/>
      <c r="AF79" s="34"/>
      <c r="AG79" s="32">
        <f t="shared" si="21"/>
        <v>943.0559999999999</v>
      </c>
      <c r="AH79" s="32"/>
      <c r="AI79" s="32">
        <f t="shared" si="30"/>
        <v>9104.998</v>
      </c>
    </row>
    <row r="80" spans="1:35" ht="15.75">
      <c r="A80" s="5" t="s">
        <v>68</v>
      </c>
      <c r="B80" s="5" t="s">
        <v>69</v>
      </c>
      <c r="C80" s="6"/>
      <c r="D80" s="26">
        <v>69.2</v>
      </c>
      <c r="E80" s="19">
        <f t="shared" si="22"/>
        <v>298.94399999999996</v>
      </c>
      <c r="F80" s="19">
        <f t="shared" si="23"/>
        <v>988.1759999999999</v>
      </c>
      <c r="G80" s="19">
        <f t="shared" si="24"/>
        <v>979.8720000000001</v>
      </c>
      <c r="H80" s="19">
        <f t="shared" si="25"/>
        <v>215.904</v>
      </c>
      <c r="I80" s="19">
        <f t="shared" si="26"/>
        <v>49.824</v>
      </c>
      <c r="J80" s="19">
        <f t="shared" si="27"/>
        <v>149.47199999999998</v>
      </c>
      <c r="K80" s="19">
        <f>2*230</f>
        <v>460</v>
      </c>
      <c r="L80" s="8">
        <f>144.73*6</f>
        <v>868.3799999999999</v>
      </c>
      <c r="M80" s="8"/>
      <c r="N80" s="8"/>
      <c r="O80" s="24">
        <f t="shared" si="17"/>
        <v>190.3</v>
      </c>
      <c r="P80" s="32">
        <f t="shared" si="28"/>
        <v>4200.872</v>
      </c>
      <c r="Q80" s="32"/>
      <c r="R80" s="34">
        <f t="shared" si="18"/>
        <v>2553.4800000000005</v>
      </c>
      <c r="S80" s="19"/>
      <c r="T80" s="19"/>
      <c r="U80" s="19"/>
      <c r="V80" s="19"/>
      <c r="W80" s="19"/>
      <c r="X80" s="19"/>
      <c r="Y80" s="32">
        <f t="shared" si="29"/>
        <v>0</v>
      </c>
      <c r="Z80" s="32">
        <f t="shared" si="19"/>
        <v>1071.216</v>
      </c>
      <c r="AA80" s="32"/>
      <c r="AB80" s="32">
        <f t="shared" si="16"/>
        <v>406.896</v>
      </c>
      <c r="AC80" s="34">
        <f t="shared" si="20"/>
        <v>196.16000000000003</v>
      </c>
      <c r="AD80" s="8"/>
      <c r="AE80" s="8"/>
      <c r="AF80" s="34"/>
      <c r="AG80" s="32">
        <f t="shared" si="21"/>
        <v>979.8720000000001</v>
      </c>
      <c r="AH80" s="32"/>
      <c r="AI80" s="32">
        <f t="shared" si="30"/>
        <v>9408.496000000001</v>
      </c>
    </row>
    <row r="81" spans="1:35" ht="15.75">
      <c r="A81" s="5" t="s">
        <v>68</v>
      </c>
      <c r="B81" s="5" t="s">
        <v>70</v>
      </c>
      <c r="C81" s="6"/>
      <c r="D81" s="29">
        <v>155.7</v>
      </c>
      <c r="E81" s="19">
        <f t="shared" si="22"/>
        <v>672.6239999999999</v>
      </c>
      <c r="F81" s="19">
        <f t="shared" si="23"/>
        <v>2223.3959999999997</v>
      </c>
      <c r="G81" s="19">
        <f t="shared" si="24"/>
        <v>2204.7119999999995</v>
      </c>
      <c r="H81" s="19">
        <f t="shared" si="25"/>
        <v>485.784</v>
      </c>
      <c r="I81" s="19">
        <f t="shared" si="26"/>
        <v>112.10399999999998</v>
      </c>
      <c r="J81" s="19">
        <f t="shared" si="27"/>
        <v>336.31199999999995</v>
      </c>
      <c r="K81" s="19">
        <f>2*230</f>
        <v>460</v>
      </c>
      <c r="L81" s="8">
        <f>144.73*6</f>
        <v>868.3799999999999</v>
      </c>
      <c r="M81" s="8"/>
      <c r="N81" s="8"/>
      <c r="O81" s="24">
        <f t="shared" si="17"/>
        <v>428.175</v>
      </c>
      <c r="P81" s="32">
        <f t="shared" si="28"/>
        <v>7791.486999999999</v>
      </c>
      <c r="Q81" s="32"/>
      <c r="R81" s="34">
        <f t="shared" si="18"/>
        <v>5745.33</v>
      </c>
      <c r="S81" s="19"/>
      <c r="T81" s="19"/>
      <c r="U81" s="19"/>
      <c r="V81" s="19"/>
      <c r="W81" s="19"/>
      <c r="X81" s="19"/>
      <c r="Y81" s="32">
        <f t="shared" si="29"/>
        <v>0</v>
      </c>
      <c r="Z81" s="32">
        <f t="shared" si="19"/>
        <v>2410.236</v>
      </c>
      <c r="AA81" s="32"/>
      <c r="AB81" s="32">
        <f t="shared" si="16"/>
        <v>915.5159999999998</v>
      </c>
      <c r="AC81" s="34">
        <f t="shared" si="20"/>
        <v>438.36</v>
      </c>
      <c r="AD81" s="8"/>
      <c r="AE81" s="8"/>
      <c r="AF81" s="34"/>
      <c r="AG81" s="32">
        <f t="shared" si="21"/>
        <v>2204.7119999999995</v>
      </c>
      <c r="AH81" s="32"/>
      <c r="AI81" s="32">
        <f t="shared" si="30"/>
        <v>19505.641</v>
      </c>
    </row>
    <row r="82" spans="1:35" ht="15.75">
      <c r="A82" s="5" t="s">
        <v>68</v>
      </c>
      <c r="B82" s="5" t="s">
        <v>35</v>
      </c>
      <c r="C82" s="6"/>
      <c r="D82" s="29">
        <v>187.1</v>
      </c>
      <c r="E82" s="19">
        <f t="shared" si="22"/>
        <v>808.2719999999999</v>
      </c>
      <c r="F82" s="19">
        <f t="shared" si="23"/>
        <v>2671.7879999999996</v>
      </c>
      <c r="G82" s="19">
        <f t="shared" si="24"/>
        <v>2649.336</v>
      </c>
      <c r="H82" s="19">
        <f t="shared" si="25"/>
        <v>583.752</v>
      </c>
      <c r="I82" s="19">
        <f t="shared" si="26"/>
        <v>134.712</v>
      </c>
      <c r="J82" s="19">
        <f t="shared" si="27"/>
        <v>404.13599999999997</v>
      </c>
      <c r="K82" s="19">
        <f>4*230</f>
        <v>920</v>
      </c>
      <c r="L82" s="8">
        <f>144.73*8</f>
        <v>1157.84</v>
      </c>
      <c r="M82" s="8"/>
      <c r="N82" s="8"/>
      <c r="O82" s="24">
        <f t="shared" si="17"/>
        <v>514.525</v>
      </c>
      <c r="P82" s="32">
        <f t="shared" si="28"/>
        <v>9844.360999999999</v>
      </c>
      <c r="Q82" s="32"/>
      <c r="R82" s="34">
        <f t="shared" si="18"/>
        <v>6903.99</v>
      </c>
      <c r="S82" s="19"/>
      <c r="T82" s="19"/>
      <c r="U82" s="19"/>
      <c r="V82" s="19"/>
      <c r="W82" s="19"/>
      <c r="X82" s="19"/>
      <c r="Y82" s="32">
        <f t="shared" si="29"/>
        <v>0</v>
      </c>
      <c r="Z82" s="32">
        <f t="shared" si="19"/>
        <v>2896.308</v>
      </c>
      <c r="AA82" s="32"/>
      <c r="AB82" s="32">
        <f t="shared" si="16"/>
        <v>1100.1480000000001</v>
      </c>
      <c r="AC82" s="34">
        <f t="shared" si="20"/>
        <v>526.28</v>
      </c>
      <c r="AD82" s="8"/>
      <c r="AE82" s="8"/>
      <c r="AF82" s="34"/>
      <c r="AG82" s="32">
        <f t="shared" si="21"/>
        <v>2649.336</v>
      </c>
      <c r="AH82" s="32"/>
      <c r="AI82" s="32">
        <f t="shared" si="30"/>
        <v>23920.423</v>
      </c>
    </row>
    <row r="83" spans="1:35" ht="15.75">
      <c r="A83" s="3" t="s">
        <v>68</v>
      </c>
      <c r="B83" s="4" t="s">
        <v>71</v>
      </c>
      <c r="C83" s="3" t="s">
        <v>2</v>
      </c>
      <c r="D83" s="29">
        <v>69.6</v>
      </c>
      <c r="E83" s="19">
        <f t="shared" si="22"/>
        <v>300.67199999999997</v>
      </c>
      <c r="F83" s="19">
        <f t="shared" si="23"/>
        <v>993.8879999999998</v>
      </c>
      <c r="G83" s="19">
        <f t="shared" si="24"/>
        <v>985.5359999999998</v>
      </c>
      <c r="H83" s="19">
        <f t="shared" si="25"/>
        <v>217.152</v>
      </c>
      <c r="I83" s="19">
        <f t="shared" si="26"/>
        <v>50.111999999999995</v>
      </c>
      <c r="J83" s="19">
        <f t="shared" si="27"/>
        <v>150.33599999999998</v>
      </c>
      <c r="K83" s="19">
        <f aca="true" t="shared" si="31" ref="K83:K89">2*230</f>
        <v>460</v>
      </c>
      <c r="L83" s="8"/>
      <c r="M83" s="8"/>
      <c r="N83" s="8"/>
      <c r="O83" s="24">
        <f t="shared" si="17"/>
        <v>191.4</v>
      </c>
      <c r="P83" s="32">
        <f t="shared" si="28"/>
        <v>3349.0959999999995</v>
      </c>
      <c r="Q83" s="32"/>
      <c r="R83" s="34">
        <f t="shared" si="18"/>
        <v>2568.24</v>
      </c>
      <c r="S83" s="19"/>
      <c r="T83" s="19"/>
      <c r="U83" s="19"/>
      <c r="V83" s="19"/>
      <c r="W83" s="19"/>
      <c r="X83" s="19"/>
      <c r="Y83" s="32">
        <f t="shared" si="29"/>
        <v>0</v>
      </c>
      <c r="Z83" s="32">
        <f t="shared" si="19"/>
        <v>1077.408</v>
      </c>
      <c r="AA83" s="32"/>
      <c r="AB83" s="32">
        <f t="shared" si="16"/>
        <v>409.248</v>
      </c>
      <c r="AC83" s="34">
        <f t="shared" si="20"/>
        <v>197.28</v>
      </c>
      <c r="AD83" s="8"/>
      <c r="AE83" s="8"/>
      <c r="AF83" s="34"/>
      <c r="AG83" s="32">
        <f t="shared" si="21"/>
        <v>985.5359999999998</v>
      </c>
      <c r="AH83" s="32"/>
      <c r="AI83" s="32">
        <f t="shared" si="30"/>
        <v>8586.807999999997</v>
      </c>
    </row>
    <row r="84" spans="1:35" ht="15.75">
      <c r="A84" s="3" t="s">
        <v>68</v>
      </c>
      <c r="B84" s="4" t="s">
        <v>72</v>
      </c>
      <c r="C84" s="3" t="s">
        <v>2</v>
      </c>
      <c r="D84" s="29">
        <v>108.3</v>
      </c>
      <c r="E84" s="19">
        <f t="shared" si="22"/>
        <v>467.856</v>
      </c>
      <c r="F84" s="19">
        <f t="shared" si="23"/>
        <v>1546.524</v>
      </c>
      <c r="G84" s="19">
        <f t="shared" si="24"/>
        <v>1533.528</v>
      </c>
      <c r="H84" s="19">
        <f t="shared" si="25"/>
        <v>337.896</v>
      </c>
      <c r="I84" s="19">
        <f t="shared" si="26"/>
        <v>77.976</v>
      </c>
      <c r="J84" s="19">
        <f t="shared" si="27"/>
        <v>233.928</v>
      </c>
      <c r="K84" s="19">
        <f t="shared" si="31"/>
        <v>460</v>
      </c>
      <c r="L84" s="8"/>
      <c r="M84" s="8"/>
      <c r="N84" s="8"/>
      <c r="O84" s="24">
        <f t="shared" si="17"/>
        <v>297.82500000000005</v>
      </c>
      <c r="P84" s="32">
        <f t="shared" si="28"/>
        <v>4955.533</v>
      </c>
      <c r="Q84" s="32"/>
      <c r="R84" s="34">
        <f t="shared" si="18"/>
        <v>3996.2699999999995</v>
      </c>
      <c r="S84" s="19"/>
      <c r="T84" s="19"/>
      <c r="U84" s="19"/>
      <c r="V84" s="19"/>
      <c r="W84" s="19"/>
      <c r="X84" s="19"/>
      <c r="Y84" s="32">
        <f t="shared" si="29"/>
        <v>0</v>
      </c>
      <c r="Z84" s="32">
        <f t="shared" si="19"/>
        <v>1676.484</v>
      </c>
      <c r="AA84" s="32"/>
      <c r="AB84" s="32">
        <f t="shared" si="16"/>
        <v>636.804</v>
      </c>
      <c r="AC84" s="34">
        <f t="shared" si="20"/>
        <v>305.64</v>
      </c>
      <c r="AD84" s="8"/>
      <c r="AE84" s="8"/>
      <c r="AF84" s="34"/>
      <c r="AG84" s="32">
        <f t="shared" si="21"/>
        <v>1533.528</v>
      </c>
      <c r="AH84" s="32"/>
      <c r="AI84" s="32">
        <f t="shared" si="30"/>
        <v>13104.259</v>
      </c>
    </row>
    <row r="85" spans="1:35" ht="15.75">
      <c r="A85" s="3" t="s">
        <v>68</v>
      </c>
      <c r="B85" s="4" t="s">
        <v>44</v>
      </c>
      <c r="C85" s="3" t="s">
        <v>2</v>
      </c>
      <c r="D85" s="26">
        <v>118</v>
      </c>
      <c r="E85" s="19">
        <f t="shared" si="22"/>
        <v>509.76</v>
      </c>
      <c r="F85" s="19">
        <f t="shared" si="23"/>
        <v>1685.04</v>
      </c>
      <c r="G85" s="19">
        <f t="shared" si="24"/>
        <v>1670.8799999999997</v>
      </c>
      <c r="H85" s="19">
        <f t="shared" si="25"/>
        <v>368.15999999999997</v>
      </c>
      <c r="I85" s="19">
        <f t="shared" si="26"/>
        <v>84.96000000000001</v>
      </c>
      <c r="J85" s="19">
        <f t="shared" si="27"/>
        <v>254.88</v>
      </c>
      <c r="K85" s="19">
        <f t="shared" si="31"/>
        <v>460</v>
      </c>
      <c r="L85" s="8">
        <f>144.73*6</f>
        <v>868.3799999999999</v>
      </c>
      <c r="M85" s="8"/>
      <c r="N85" s="8"/>
      <c r="O85" s="24">
        <f t="shared" si="17"/>
        <v>324.5</v>
      </c>
      <c r="P85" s="32">
        <f t="shared" si="28"/>
        <v>6226.56</v>
      </c>
      <c r="Q85" s="32"/>
      <c r="R85" s="34">
        <f t="shared" si="18"/>
        <v>4354.2</v>
      </c>
      <c r="S85" s="19"/>
      <c r="T85" s="19"/>
      <c r="U85" s="19"/>
      <c r="V85" s="19"/>
      <c r="W85" s="19"/>
      <c r="X85" s="19"/>
      <c r="Y85" s="32">
        <f t="shared" si="29"/>
        <v>0</v>
      </c>
      <c r="Z85" s="32">
        <f t="shared" si="19"/>
        <v>1826.6399999999999</v>
      </c>
      <c r="AA85" s="32"/>
      <c r="AB85" s="32">
        <f t="shared" si="16"/>
        <v>693.84</v>
      </c>
      <c r="AC85" s="34">
        <f t="shared" si="20"/>
        <v>332.8</v>
      </c>
      <c r="AD85" s="8"/>
      <c r="AE85" s="8"/>
      <c r="AF85" s="34"/>
      <c r="AG85" s="32">
        <f t="shared" si="21"/>
        <v>1670.8799999999997</v>
      </c>
      <c r="AH85" s="32"/>
      <c r="AI85" s="32">
        <f t="shared" si="30"/>
        <v>15104.919999999998</v>
      </c>
    </row>
    <row r="86" spans="1:35" ht="15.75">
      <c r="A86" s="5" t="s">
        <v>68</v>
      </c>
      <c r="B86" s="5" t="s">
        <v>3</v>
      </c>
      <c r="C86" s="6"/>
      <c r="D86" s="26">
        <v>70</v>
      </c>
      <c r="E86" s="19">
        <f t="shared" si="22"/>
        <v>302.4</v>
      </c>
      <c r="F86" s="19">
        <f t="shared" si="23"/>
        <v>999.5999999999999</v>
      </c>
      <c r="G86" s="19">
        <f t="shared" si="24"/>
        <v>991.1999999999999</v>
      </c>
      <c r="H86" s="19">
        <f t="shared" si="25"/>
        <v>218.39999999999998</v>
      </c>
      <c r="I86" s="19">
        <f t="shared" si="26"/>
        <v>50.400000000000006</v>
      </c>
      <c r="J86" s="19">
        <f t="shared" si="27"/>
        <v>151.2</v>
      </c>
      <c r="K86" s="19">
        <f t="shared" si="31"/>
        <v>460</v>
      </c>
      <c r="L86" s="8">
        <f>144.73*6</f>
        <v>868.3799999999999</v>
      </c>
      <c r="M86" s="8"/>
      <c r="N86" s="8"/>
      <c r="O86" s="24">
        <f t="shared" si="17"/>
        <v>192.5</v>
      </c>
      <c r="P86" s="32">
        <f t="shared" si="28"/>
        <v>4234.08</v>
      </c>
      <c r="Q86" s="32"/>
      <c r="R86" s="34">
        <f t="shared" si="18"/>
        <v>2583</v>
      </c>
      <c r="S86" s="19"/>
      <c r="T86" s="19"/>
      <c r="U86" s="19"/>
      <c r="V86" s="19"/>
      <c r="W86" s="19"/>
      <c r="X86" s="19"/>
      <c r="Y86" s="32">
        <f t="shared" si="29"/>
        <v>0</v>
      </c>
      <c r="Z86" s="32">
        <f t="shared" si="19"/>
        <v>1083.6</v>
      </c>
      <c r="AA86" s="32"/>
      <c r="AB86" s="32">
        <f t="shared" si="16"/>
        <v>411.59999999999997</v>
      </c>
      <c r="AC86" s="34">
        <f t="shared" si="20"/>
        <v>198.4</v>
      </c>
      <c r="AD86" s="8"/>
      <c r="AE86" s="8"/>
      <c r="AF86" s="34"/>
      <c r="AG86" s="32">
        <f t="shared" si="21"/>
        <v>991.1999999999999</v>
      </c>
      <c r="AH86" s="32"/>
      <c r="AI86" s="32">
        <f t="shared" si="30"/>
        <v>9501.880000000001</v>
      </c>
    </row>
    <row r="87" spans="1:35" s="52" customFormat="1" ht="15.75">
      <c r="A87" s="48" t="s">
        <v>68</v>
      </c>
      <c r="B87" s="48" t="s">
        <v>65</v>
      </c>
      <c r="C87" s="6"/>
      <c r="D87" s="29">
        <v>110.7</v>
      </c>
      <c r="E87" s="49">
        <f t="shared" si="22"/>
        <v>478.22399999999993</v>
      </c>
      <c r="F87" s="49">
        <f t="shared" si="23"/>
        <v>1580.796</v>
      </c>
      <c r="G87" s="49">
        <f t="shared" si="24"/>
        <v>1567.5120000000002</v>
      </c>
      <c r="H87" s="49">
        <f t="shared" si="25"/>
        <v>345.384</v>
      </c>
      <c r="I87" s="49">
        <f t="shared" si="26"/>
        <v>79.70400000000001</v>
      </c>
      <c r="J87" s="49">
        <f t="shared" si="27"/>
        <v>239.11199999999997</v>
      </c>
      <c r="K87" s="49">
        <f t="shared" si="31"/>
        <v>460</v>
      </c>
      <c r="L87" s="3">
        <f>144.73*7</f>
        <v>1013.1099999999999</v>
      </c>
      <c r="M87" s="3"/>
      <c r="N87" s="3"/>
      <c r="O87" s="49">
        <f t="shared" si="17"/>
        <v>304.425</v>
      </c>
      <c r="P87" s="50">
        <f t="shared" si="28"/>
        <v>6068.267</v>
      </c>
      <c r="Q87" s="50">
        <f>D87*1.27*5+D87*1.34*7</f>
        <v>1741.3110000000001</v>
      </c>
      <c r="R87" s="51">
        <f t="shared" si="18"/>
        <v>4084.8300000000004</v>
      </c>
      <c r="S87" s="49"/>
      <c r="T87" s="49"/>
      <c r="U87" s="49"/>
      <c r="V87" s="49"/>
      <c r="W87" s="49"/>
      <c r="X87" s="49"/>
      <c r="Y87" s="50">
        <f t="shared" si="29"/>
        <v>0</v>
      </c>
      <c r="Z87" s="50">
        <f t="shared" si="19"/>
        <v>1713.636</v>
      </c>
      <c r="AA87" s="50"/>
      <c r="AB87" s="50">
        <f t="shared" si="16"/>
        <v>650.916</v>
      </c>
      <c r="AC87" s="51">
        <f t="shared" si="20"/>
        <v>312.36</v>
      </c>
      <c r="AD87" s="3"/>
      <c r="AE87" s="3"/>
      <c r="AF87" s="51"/>
      <c r="AG87" s="50">
        <f t="shared" si="21"/>
        <v>1567.5120000000002</v>
      </c>
      <c r="AH87" s="50"/>
      <c r="AI87" s="50">
        <f t="shared" si="30"/>
        <v>16138.832</v>
      </c>
    </row>
    <row r="88" spans="1:35" ht="15.75">
      <c r="A88" s="3" t="s">
        <v>68</v>
      </c>
      <c r="B88" s="4" t="s">
        <v>73</v>
      </c>
      <c r="C88" s="3" t="s">
        <v>2</v>
      </c>
      <c r="D88" s="26">
        <v>90.6</v>
      </c>
      <c r="E88" s="19">
        <f t="shared" si="22"/>
        <v>391.392</v>
      </c>
      <c r="F88" s="19">
        <f t="shared" si="23"/>
        <v>1293.768</v>
      </c>
      <c r="G88" s="19">
        <f t="shared" si="24"/>
        <v>1282.8959999999997</v>
      </c>
      <c r="H88" s="19">
        <f t="shared" si="25"/>
        <v>282.672</v>
      </c>
      <c r="I88" s="19">
        <f t="shared" si="26"/>
        <v>65.23199999999999</v>
      </c>
      <c r="J88" s="19">
        <f t="shared" si="27"/>
        <v>195.696</v>
      </c>
      <c r="K88" s="19">
        <f t="shared" si="31"/>
        <v>460</v>
      </c>
      <c r="L88" s="8">
        <f>144.73*6</f>
        <v>868.3799999999999</v>
      </c>
      <c r="M88" s="8"/>
      <c r="N88" s="8"/>
      <c r="O88" s="24">
        <f t="shared" si="17"/>
        <v>249.14999999999998</v>
      </c>
      <c r="P88" s="32">
        <f t="shared" si="28"/>
        <v>5089.185999999999</v>
      </c>
      <c r="Q88" s="32"/>
      <c r="R88" s="34">
        <f t="shared" si="18"/>
        <v>3343.1399999999994</v>
      </c>
      <c r="S88" s="19"/>
      <c r="T88" s="19"/>
      <c r="U88" s="19"/>
      <c r="V88" s="19"/>
      <c r="W88" s="19"/>
      <c r="X88" s="19"/>
      <c r="Y88" s="32">
        <f t="shared" si="29"/>
        <v>0</v>
      </c>
      <c r="Z88" s="32">
        <f t="shared" si="19"/>
        <v>1402.4879999999998</v>
      </c>
      <c r="AA88" s="32"/>
      <c r="AB88" s="32">
        <f t="shared" si="16"/>
        <v>532.728</v>
      </c>
      <c r="AC88" s="34">
        <f t="shared" si="20"/>
        <v>256.08</v>
      </c>
      <c r="AD88" s="8"/>
      <c r="AE88" s="8"/>
      <c r="AF88" s="34"/>
      <c r="AG88" s="32">
        <f t="shared" si="21"/>
        <v>1282.8959999999997</v>
      </c>
      <c r="AH88" s="32"/>
      <c r="AI88" s="32">
        <f t="shared" si="30"/>
        <v>11906.517999999996</v>
      </c>
    </row>
    <row r="89" spans="1:35" ht="15.75">
      <c r="A89" s="5" t="s">
        <v>68</v>
      </c>
      <c r="B89" s="5" t="s">
        <v>67</v>
      </c>
      <c r="C89" s="6"/>
      <c r="D89" s="26">
        <v>94.7</v>
      </c>
      <c r="E89" s="19">
        <f t="shared" si="22"/>
        <v>409.104</v>
      </c>
      <c r="F89" s="19">
        <f t="shared" si="23"/>
        <v>1352.316</v>
      </c>
      <c r="G89" s="19">
        <f t="shared" si="24"/>
        <v>1340.952</v>
      </c>
      <c r="H89" s="19">
        <f t="shared" si="25"/>
        <v>295.464</v>
      </c>
      <c r="I89" s="19">
        <f t="shared" si="26"/>
        <v>68.184</v>
      </c>
      <c r="J89" s="19">
        <f t="shared" si="27"/>
        <v>204.552</v>
      </c>
      <c r="K89" s="19">
        <f t="shared" si="31"/>
        <v>460</v>
      </c>
      <c r="L89" s="8"/>
      <c r="M89" s="8"/>
      <c r="N89" s="8"/>
      <c r="O89" s="24">
        <f t="shared" si="17"/>
        <v>260.42500000000007</v>
      </c>
      <c r="P89" s="32">
        <f t="shared" si="28"/>
        <v>4390.997</v>
      </c>
      <c r="Q89" s="32"/>
      <c r="R89" s="34">
        <f t="shared" si="18"/>
        <v>3494.4300000000003</v>
      </c>
      <c r="S89" s="19"/>
      <c r="T89" s="19"/>
      <c r="U89" s="19"/>
      <c r="V89" s="19"/>
      <c r="W89" s="19"/>
      <c r="X89" s="19"/>
      <c r="Y89" s="32">
        <f t="shared" si="29"/>
        <v>0</v>
      </c>
      <c r="Z89" s="32">
        <f t="shared" si="19"/>
        <v>1465.9560000000001</v>
      </c>
      <c r="AA89" s="32"/>
      <c r="AB89" s="32">
        <f t="shared" si="16"/>
        <v>556.836</v>
      </c>
      <c r="AC89" s="34">
        <f t="shared" si="20"/>
        <v>267.56</v>
      </c>
      <c r="AD89" s="8"/>
      <c r="AE89" s="8"/>
      <c r="AF89" s="34"/>
      <c r="AG89" s="32">
        <f t="shared" si="21"/>
        <v>1340.952</v>
      </c>
      <c r="AH89" s="32">
        <v>57500</v>
      </c>
      <c r="AI89" s="32">
        <f t="shared" si="30"/>
        <v>69016.731</v>
      </c>
    </row>
    <row r="90" spans="1:35" ht="15.75">
      <c r="A90" s="3" t="s">
        <v>74</v>
      </c>
      <c r="B90" s="4" t="s">
        <v>34</v>
      </c>
      <c r="C90" s="3" t="s">
        <v>2</v>
      </c>
      <c r="D90" s="26">
        <v>607.3</v>
      </c>
      <c r="E90" s="19">
        <f t="shared" si="22"/>
        <v>2623.536</v>
      </c>
      <c r="F90" s="19">
        <f t="shared" si="23"/>
        <v>8672.243999999999</v>
      </c>
      <c r="G90" s="19">
        <f t="shared" si="24"/>
        <v>8599.367999999999</v>
      </c>
      <c r="H90" s="19">
        <f t="shared" si="25"/>
        <v>1894.7759999999998</v>
      </c>
      <c r="I90" s="19">
        <f t="shared" si="26"/>
        <v>437.256</v>
      </c>
      <c r="J90" s="19">
        <f t="shared" si="27"/>
        <v>1311.768</v>
      </c>
      <c r="K90" s="19">
        <f>12*8*4+12*6*2</f>
        <v>528</v>
      </c>
      <c r="L90" s="8"/>
      <c r="M90" s="8"/>
      <c r="N90" s="8">
        <f>667*20.77</f>
        <v>13853.59</v>
      </c>
      <c r="O90" s="24">
        <f t="shared" si="17"/>
        <v>1670.0749999999998</v>
      </c>
      <c r="P90" s="32">
        <f t="shared" si="28"/>
        <v>39590.613</v>
      </c>
      <c r="Q90" s="32"/>
      <c r="R90" s="34">
        <f t="shared" si="18"/>
        <v>22409.37</v>
      </c>
      <c r="S90" s="19"/>
      <c r="T90" s="19"/>
      <c r="U90" s="19"/>
      <c r="V90" s="19">
        <f>216*150</f>
        <v>32400</v>
      </c>
      <c r="W90" s="19"/>
      <c r="X90" s="19"/>
      <c r="Y90" s="32">
        <f t="shared" si="29"/>
        <v>32400</v>
      </c>
      <c r="Z90" s="32">
        <f t="shared" si="19"/>
        <v>9401.003999999999</v>
      </c>
      <c r="AA90" s="32"/>
      <c r="AB90" s="32">
        <f t="shared" si="16"/>
        <v>3570.924</v>
      </c>
      <c r="AC90" s="34">
        <f t="shared" si="20"/>
        <v>1702.84</v>
      </c>
      <c r="AD90" s="8"/>
      <c r="AE90" s="8"/>
      <c r="AF90" s="34"/>
      <c r="AG90" s="32">
        <f t="shared" si="21"/>
        <v>8599.367999999999</v>
      </c>
      <c r="AH90" s="32">
        <v>57500</v>
      </c>
      <c r="AI90" s="32">
        <f t="shared" si="30"/>
        <v>175174.119</v>
      </c>
    </row>
    <row r="91" spans="1:35" ht="15.75">
      <c r="A91" s="3" t="s">
        <v>74</v>
      </c>
      <c r="B91" s="4" t="s">
        <v>75</v>
      </c>
      <c r="C91" s="3" t="s">
        <v>2</v>
      </c>
      <c r="D91" s="26">
        <v>449.3</v>
      </c>
      <c r="E91" s="19">
        <f t="shared" si="22"/>
        <v>1940.9759999999999</v>
      </c>
      <c r="F91" s="19">
        <f t="shared" si="23"/>
        <v>6416.004000000001</v>
      </c>
      <c r="G91" s="19">
        <f t="shared" si="24"/>
        <v>6362.088</v>
      </c>
      <c r="H91" s="19">
        <f t="shared" si="25"/>
        <v>1401.8160000000003</v>
      </c>
      <c r="I91" s="19">
        <f t="shared" si="26"/>
        <v>323.496</v>
      </c>
      <c r="J91" s="19">
        <f t="shared" si="27"/>
        <v>970.4879999999999</v>
      </c>
      <c r="K91" s="19">
        <f>12*6*2</f>
        <v>144</v>
      </c>
      <c r="L91" s="8"/>
      <c r="M91" s="8"/>
      <c r="N91" s="8"/>
      <c r="O91" s="24">
        <f t="shared" si="17"/>
        <v>1235.5750000000003</v>
      </c>
      <c r="P91" s="32">
        <f t="shared" si="28"/>
        <v>18794.443000000003</v>
      </c>
      <c r="Q91" s="32"/>
      <c r="R91" s="34">
        <f t="shared" si="18"/>
        <v>16579.170000000002</v>
      </c>
      <c r="S91" s="19"/>
      <c r="T91" s="19"/>
      <c r="U91" s="19"/>
      <c r="V91" s="19"/>
      <c r="W91" s="19"/>
      <c r="X91" s="19"/>
      <c r="Y91" s="32">
        <f t="shared" si="29"/>
        <v>0</v>
      </c>
      <c r="Z91" s="32">
        <f t="shared" si="19"/>
        <v>6955.164</v>
      </c>
      <c r="AA91" s="32"/>
      <c r="AB91" s="32">
        <f t="shared" si="16"/>
        <v>2641.884</v>
      </c>
      <c r="AC91" s="34">
        <f t="shared" si="20"/>
        <v>1260.4400000000003</v>
      </c>
      <c r="AD91" s="8"/>
      <c r="AE91" s="8"/>
      <c r="AF91" s="34"/>
      <c r="AG91" s="32">
        <f t="shared" si="21"/>
        <v>6362.088</v>
      </c>
      <c r="AH91" s="32"/>
      <c r="AI91" s="32">
        <f t="shared" si="30"/>
        <v>52593.189</v>
      </c>
    </row>
    <row r="92" spans="1:35" ht="15.75">
      <c r="A92" s="3" t="s">
        <v>74</v>
      </c>
      <c r="B92" s="4" t="s">
        <v>41</v>
      </c>
      <c r="C92" s="3" t="s">
        <v>2</v>
      </c>
      <c r="D92" s="29">
        <v>286.4</v>
      </c>
      <c r="E92" s="19">
        <f t="shared" si="22"/>
        <v>1237.2479999999998</v>
      </c>
      <c r="F92" s="19">
        <f t="shared" si="23"/>
        <v>4089.7919999999995</v>
      </c>
      <c r="G92" s="19">
        <f t="shared" si="24"/>
        <v>4055.423999999999</v>
      </c>
      <c r="H92" s="19">
        <f t="shared" si="25"/>
        <v>893.568</v>
      </c>
      <c r="I92" s="19">
        <f t="shared" si="26"/>
        <v>206.20799999999997</v>
      </c>
      <c r="J92" s="19">
        <f t="shared" si="27"/>
        <v>618.6239999999999</v>
      </c>
      <c r="K92" s="19">
        <f>8*6*2</f>
        <v>96</v>
      </c>
      <c r="L92" s="8">
        <f>144.73*12</f>
        <v>1736.7599999999998</v>
      </c>
      <c r="M92" s="8"/>
      <c r="N92" s="8"/>
      <c r="O92" s="24">
        <f t="shared" si="17"/>
        <v>787.6</v>
      </c>
      <c r="P92" s="32">
        <f t="shared" si="28"/>
        <v>13721.223999999998</v>
      </c>
      <c r="Q92" s="32"/>
      <c r="R92" s="34">
        <f t="shared" si="18"/>
        <v>10568.16</v>
      </c>
      <c r="S92" s="19"/>
      <c r="T92" s="19"/>
      <c r="U92" s="19"/>
      <c r="V92" s="19"/>
      <c r="W92" s="19"/>
      <c r="X92" s="19"/>
      <c r="Y92" s="32">
        <f t="shared" si="29"/>
        <v>0</v>
      </c>
      <c r="Z92" s="32">
        <f t="shared" si="19"/>
        <v>4433.472</v>
      </c>
      <c r="AA92" s="32"/>
      <c r="AB92" s="32">
        <f t="shared" si="16"/>
        <v>1684.0319999999997</v>
      </c>
      <c r="AC92" s="34">
        <f t="shared" si="20"/>
        <v>804.32</v>
      </c>
      <c r="AD92" s="8"/>
      <c r="AE92" s="8"/>
      <c r="AF92" s="34"/>
      <c r="AG92" s="32">
        <f t="shared" si="21"/>
        <v>4055.423999999999</v>
      </c>
      <c r="AH92" s="32"/>
      <c r="AI92" s="32">
        <f t="shared" si="30"/>
        <v>35266.632</v>
      </c>
    </row>
    <row r="93" spans="1:35" ht="15.75">
      <c r="A93" s="3" t="s">
        <v>74</v>
      </c>
      <c r="B93" s="4" t="s">
        <v>42</v>
      </c>
      <c r="C93" s="3" t="s">
        <v>2</v>
      </c>
      <c r="D93" s="26">
        <v>630.6</v>
      </c>
      <c r="E93" s="19">
        <f t="shared" si="22"/>
        <v>2724.192</v>
      </c>
      <c r="F93" s="19">
        <f t="shared" si="23"/>
        <v>9004.968</v>
      </c>
      <c r="G93" s="19">
        <f t="shared" si="24"/>
        <v>8929.295999999998</v>
      </c>
      <c r="H93" s="19">
        <f t="shared" si="25"/>
        <v>1967.4720000000002</v>
      </c>
      <c r="I93" s="19">
        <f t="shared" si="26"/>
        <v>454.032</v>
      </c>
      <c r="J93" s="19">
        <f t="shared" si="27"/>
        <v>1362.096</v>
      </c>
      <c r="K93" s="19">
        <f>16*6*2</f>
        <v>192</v>
      </c>
      <c r="L93" s="8"/>
      <c r="M93" s="8"/>
      <c r="N93" s="8">
        <f>560*20.77</f>
        <v>11631.199999999999</v>
      </c>
      <c r="O93" s="24">
        <f t="shared" si="17"/>
        <v>1734.15</v>
      </c>
      <c r="P93" s="32">
        <f t="shared" si="28"/>
        <v>37999.406</v>
      </c>
      <c r="Q93" s="32"/>
      <c r="R93" s="34">
        <f t="shared" si="18"/>
        <v>23269.140000000003</v>
      </c>
      <c r="S93" s="19"/>
      <c r="T93" s="19"/>
      <c r="U93" s="19"/>
      <c r="V93" s="19"/>
      <c r="W93" s="19"/>
      <c r="X93" s="19"/>
      <c r="Y93" s="32">
        <f t="shared" si="29"/>
        <v>0</v>
      </c>
      <c r="Z93" s="32">
        <f t="shared" si="19"/>
        <v>9761.688</v>
      </c>
      <c r="AA93" s="32"/>
      <c r="AB93" s="32">
        <f t="shared" si="16"/>
        <v>3707.9280000000003</v>
      </c>
      <c r="AC93" s="34">
        <f t="shared" si="20"/>
        <v>1768.0800000000002</v>
      </c>
      <c r="AD93" s="8"/>
      <c r="AE93" s="8"/>
      <c r="AF93" s="34"/>
      <c r="AG93" s="32">
        <f t="shared" si="21"/>
        <v>8929.295999999998</v>
      </c>
      <c r="AH93" s="32"/>
      <c r="AI93" s="32">
        <f t="shared" si="30"/>
        <v>85435.538</v>
      </c>
    </row>
    <row r="94" spans="1:35" ht="15.75">
      <c r="A94" s="3" t="s">
        <v>74</v>
      </c>
      <c r="B94" s="4" t="s">
        <v>14</v>
      </c>
      <c r="C94" s="3" t="s">
        <v>2</v>
      </c>
      <c r="D94" s="26">
        <v>594.6</v>
      </c>
      <c r="E94" s="19">
        <f t="shared" si="22"/>
        <v>2568.672</v>
      </c>
      <c r="F94" s="19">
        <f t="shared" si="23"/>
        <v>8490.887999999999</v>
      </c>
      <c r="G94" s="19">
        <f t="shared" si="24"/>
        <v>8419.536</v>
      </c>
      <c r="H94" s="19">
        <f t="shared" si="25"/>
        <v>1855.152</v>
      </c>
      <c r="I94" s="19">
        <f t="shared" si="26"/>
        <v>428.112</v>
      </c>
      <c r="J94" s="19">
        <f t="shared" si="27"/>
        <v>1284.336</v>
      </c>
      <c r="K94" s="19">
        <f>10*6*2</f>
        <v>120</v>
      </c>
      <c r="L94" s="8"/>
      <c r="M94" s="8"/>
      <c r="N94" s="8">
        <f>393*20.77</f>
        <v>8162.61</v>
      </c>
      <c r="O94" s="24">
        <f t="shared" si="17"/>
        <v>1635.15</v>
      </c>
      <c r="P94" s="32">
        <f t="shared" si="28"/>
        <v>32964.456</v>
      </c>
      <c r="Q94" s="32"/>
      <c r="R94" s="34">
        <f t="shared" si="18"/>
        <v>21940.740000000005</v>
      </c>
      <c r="S94" s="19"/>
      <c r="T94" s="19"/>
      <c r="U94" s="19"/>
      <c r="V94" s="19">
        <f>101*150</f>
        <v>15150</v>
      </c>
      <c r="W94" s="19"/>
      <c r="X94" s="19"/>
      <c r="Y94" s="32">
        <f t="shared" si="29"/>
        <v>15150</v>
      </c>
      <c r="Z94" s="32">
        <f t="shared" si="19"/>
        <v>9204.408000000001</v>
      </c>
      <c r="AA94" s="32"/>
      <c r="AB94" s="32">
        <f t="shared" si="16"/>
        <v>3496.2479999999996</v>
      </c>
      <c r="AC94" s="34">
        <f t="shared" si="20"/>
        <v>1667.2800000000002</v>
      </c>
      <c r="AD94" s="8"/>
      <c r="AE94" s="8"/>
      <c r="AF94" s="34"/>
      <c r="AG94" s="32">
        <f t="shared" si="21"/>
        <v>8419.536</v>
      </c>
      <c r="AH94" s="32"/>
      <c r="AI94" s="32">
        <f t="shared" si="30"/>
        <v>92842.66799999998</v>
      </c>
    </row>
    <row r="95" spans="1:35" ht="15.75">
      <c r="A95" s="3" t="s">
        <v>74</v>
      </c>
      <c r="B95" s="4" t="s">
        <v>76</v>
      </c>
      <c r="C95" s="3" t="s">
        <v>2</v>
      </c>
      <c r="D95" s="26">
        <v>276.8</v>
      </c>
      <c r="E95" s="19">
        <f t="shared" si="22"/>
        <v>1195.7759999999998</v>
      </c>
      <c r="F95" s="19">
        <f t="shared" si="23"/>
        <v>3952.7039999999997</v>
      </c>
      <c r="G95" s="19">
        <f t="shared" si="24"/>
        <v>3919.4880000000003</v>
      </c>
      <c r="H95" s="19">
        <f t="shared" si="25"/>
        <v>863.616</v>
      </c>
      <c r="I95" s="19">
        <f t="shared" si="26"/>
        <v>199.296</v>
      </c>
      <c r="J95" s="19">
        <f t="shared" si="27"/>
        <v>597.8879999999999</v>
      </c>
      <c r="K95" s="19">
        <f>8*6*2</f>
        <v>96</v>
      </c>
      <c r="L95" s="8">
        <f>144.73*12</f>
        <v>1736.7599999999998</v>
      </c>
      <c r="M95" s="8"/>
      <c r="N95" s="8">
        <f>257*20.77</f>
        <v>5337.89</v>
      </c>
      <c r="O95" s="24">
        <f t="shared" si="17"/>
        <v>761.2</v>
      </c>
      <c r="P95" s="32">
        <f t="shared" si="28"/>
        <v>18660.618000000002</v>
      </c>
      <c r="Q95" s="32"/>
      <c r="R95" s="34">
        <f t="shared" si="18"/>
        <v>10213.920000000002</v>
      </c>
      <c r="S95" s="19"/>
      <c r="T95" s="19"/>
      <c r="U95" s="19"/>
      <c r="V95" s="19"/>
      <c r="W95" s="19"/>
      <c r="X95" s="19"/>
      <c r="Y95" s="32">
        <f t="shared" si="29"/>
        <v>0</v>
      </c>
      <c r="Z95" s="32">
        <f t="shared" si="19"/>
        <v>4284.864</v>
      </c>
      <c r="AA95" s="32"/>
      <c r="AB95" s="32">
        <f aca="true" t="shared" si="32" ref="AB95:AB158">D95*0.49*12</f>
        <v>1627.584</v>
      </c>
      <c r="AC95" s="34">
        <f t="shared" si="20"/>
        <v>777.44</v>
      </c>
      <c r="AD95" s="8"/>
      <c r="AE95" s="8"/>
      <c r="AF95" s="34"/>
      <c r="AG95" s="32">
        <f t="shared" si="21"/>
        <v>3919.4880000000003</v>
      </c>
      <c r="AH95" s="32"/>
      <c r="AI95" s="32">
        <f t="shared" si="30"/>
        <v>39483.914000000004</v>
      </c>
    </row>
    <row r="96" spans="1:35" ht="15.75">
      <c r="A96" s="3" t="s">
        <v>74</v>
      </c>
      <c r="B96" s="4" t="s">
        <v>67</v>
      </c>
      <c r="C96" s="3" t="s">
        <v>2</v>
      </c>
      <c r="D96" s="29">
        <v>375</v>
      </c>
      <c r="E96" s="19">
        <f t="shared" si="22"/>
        <v>1620</v>
      </c>
      <c r="F96" s="19">
        <f t="shared" si="23"/>
        <v>5355</v>
      </c>
      <c r="G96" s="19">
        <f t="shared" si="24"/>
        <v>5310</v>
      </c>
      <c r="H96" s="19">
        <f t="shared" si="25"/>
        <v>1170</v>
      </c>
      <c r="I96" s="19">
        <f t="shared" si="26"/>
        <v>270</v>
      </c>
      <c r="J96" s="19">
        <f t="shared" si="27"/>
        <v>810</v>
      </c>
      <c r="K96" s="19">
        <f>8*8*4+8*6*2</f>
        <v>352</v>
      </c>
      <c r="L96" s="8"/>
      <c r="M96" s="8"/>
      <c r="N96" s="8"/>
      <c r="O96" s="24">
        <f t="shared" si="17"/>
        <v>1031.2500000000002</v>
      </c>
      <c r="P96" s="32">
        <f t="shared" si="28"/>
        <v>15918.25</v>
      </c>
      <c r="Q96" s="32"/>
      <c r="R96" s="34">
        <f t="shared" si="18"/>
        <v>13837.5</v>
      </c>
      <c r="S96" s="19"/>
      <c r="T96" s="19"/>
      <c r="U96" s="19"/>
      <c r="V96" s="19"/>
      <c r="W96" s="19"/>
      <c r="X96" s="19"/>
      <c r="Y96" s="32">
        <f t="shared" si="29"/>
        <v>0</v>
      </c>
      <c r="Z96" s="32">
        <f t="shared" si="19"/>
        <v>5805</v>
      </c>
      <c r="AA96" s="32"/>
      <c r="AB96" s="32">
        <f t="shared" si="32"/>
        <v>2205</v>
      </c>
      <c r="AC96" s="34">
        <f t="shared" si="20"/>
        <v>1052.4</v>
      </c>
      <c r="AD96" s="8"/>
      <c r="AE96" s="8"/>
      <c r="AF96" s="34"/>
      <c r="AG96" s="32">
        <f t="shared" si="21"/>
        <v>5310</v>
      </c>
      <c r="AH96" s="32"/>
      <c r="AI96" s="32">
        <f t="shared" si="30"/>
        <v>44128.15</v>
      </c>
    </row>
    <row r="97" spans="1:35" ht="15.75">
      <c r="A97" s="5" t="s">
        <v>77</v>
      </c>
      <c r="B97" s="5" t="s">
        <v>6</v>
      </c>
      <c r="C97" s="6"/>
      <c r="D97" s="29">
        <v>235.3</v>
      </c>
      <c r="E97" s="19">
        <f t="shared" si="22"/>
        <v>1016.496</v>
      </c>
      <c r="F97" s="19">
        <f t="shared" si="23"/>
        <v>3360.084</v>
      </c>
      <c r="G97" s="19">
        <f t="shared" si="24"/>
        <v>3331.848</v>
      </c>
      <c r="H97" s="19">
        <f t="shared" si="25"/>
        <v>734.1360000000001</v>
      </c>
      <c r="I97" s="19">
        <f t="shared" si="26"/>
        <v>169.416</v>
      </c>
      <c r="J97" s="19">
        <f t="shared" si="27"/>
        <v>508.248</v>
      </c>
      <c r="K97" s="19">
        <f>3*230</f>
        <v>690</v>
      </c>
      <c r="L97" s="8"/>
      <c r="M97" s="8"/>
      <c r="N97" s="8"/>
      <c r="O97" s="24">
        <f t="shared" si="17"/>
        <v>647.075</v>
      </c>
      <c r="P97" s="32">
        <f t="shared" si="28"/>
        <v>10457.303</v>
      </c>
      <c r="Q97" s="32"/>
      <c r="R97" s="34">
        <f t="shared" si="18"/>
        <v>8682.570000000002</v>
      </c>
      <c r="S97" s="19"/>
      <c r="T97" s="19"/>
      <c r="U97" s="19"/>
      <c r="V97" s="19"/>
      <c r="W97" s="19"/>
      <c r="X97" s="19"/>
      <c r="Y97" s="32">
        <f t="shared" si="29"/>
        <v>0</v>
      </c>
      <c r="Z97" s="32">
        <f t="shared" si="19"/>
        <v>3642.4440000000004</v>
      </c>
      <c r="AA97" s="32"/>
      <c r="AB97" s="32">
        <f t="shared" si="32"/>
        <v>1383.5639999999999</v>
      </c>
      <c r="AC97" s="34">
        <f t="shared" si="20"/>
        <v>661.24</v>
      </c>
      <c r="AD97" s="8"/>
      <c r="AE97" s="8"/>
      <c r="AF97" s="34"/>
      <c r="AG97" s="32">
        <f t="shared" si="21"/>
        <v>3331.848</v>
      </c>
      <c r="AH97" s="32"/>
      <c r="AI97" s="32">
        <f t="shared" si="30"/>
        <v>28158.968999999997</v>
      </c>
    </row>
    <row r="98" spans="1:35" ht="15.75">
      <c r="A98" s="5" t="s">
        <v>77</v>
      </c>
      <c r="B98" s="5" t="s">
        <v>78</v>
      </c>
      <c r="C98" s="6"/>
      <c r="D98" s="26">
        <v>88.5</v>
      </c>
      <c r="E98" s="19">
        <f t="shared" si="22"/>
        <v>382.32</v>
      </c>
      <c r="F98" s="19">
        <f t="shared" si="23"/>
        <v>1263.78</v>
      </c>
      <c r="G98" s="19">
        <f t="shared" si="24"/>
        <v>1253.1599999999999</v>
      </c>
      <c r="H98" s="19">
        <f t="shared" si="25"/>
        <v>276.12</v>
      </c>
      <c r="I98" s="19">
        <f t="shared" si="26"/>
        <v>63.72</v>
      </c>
      <c r="J98" s="19">
        <f t="shared" si="27"/>
        <v>191.16</v>
      </c>
      <c r="K98" s="19">
        <f>2*230</f>
        <v>460</v>
      </c>
      <c r="L98" s="8">
        <f>144.73*8</f>
        <v>1157.84</v>
      </c>
      <c r="M98" s="8"/>
      <c r="N98" s="8"/>
      <c r="O98" s="24">
        <f t="shared" si="17"/>
        <v>243.37500000000003</v>
      </c>
      <c r="P98" s="32">
        <f t="shared" si="28"/>
        <v>5291.474999999999</v>
      </c>
      <c r="Q98" s="32"/>
      <c r="R98" s="34">
        <f t="shared" si="18"/>
        <v>3265.65</v>
      </c>
      <c r="S98" s="19"/>
      <c r="T98" s="19"/>
      <c r="U98" s="19"/>
      <c r="V98" s="19"/>
      <c r="W98" s="19"/>
      <c r="X98" s="19"/>
      <c r="Y98" s="32">
        <f t="shared" si="29"/>
        <v>0</v>
      </c>
      <c r="Z98" s="32">
        <f t="shared" si="19"/>
        <v>1369.98</v>
      </c>
      <c r="AA98" s="32"/>
      <c r="AB98" s="32">
        <f t="shared" si="32"/>
        <v>520.38</v>
      </c>
      <c r="AC98" s="34">
        <f t="shared" si="20"/>
        <v>250.2</v>
      </c>
      <c r="AD98" s="8"/>
      <c r="AE98" s="8"/>
      <c r="AF98" s="34"/>
      <c r="AG98" s="32">
        <f t="shared" si="21"/>
        <v>1253.1599999999999</v>
      </c>
      <c r="AH98" s="32"/>
      <c r="AI98" s="32">
        <f t="shared" si="30"/>
        <v>11950.845</v>
      </c>
    </row>
    <row r="99" spans="1:35" ht="15.75">
      <c r="A99" s="3" t="s">
        <v>79</v>
      </c>
      <c r="B99" s="4" t="s">
        <v>80</v>
      </c>
      <c r="C99" s="3" t="s">
        <v>2</v>
      </c>
      <c r="D99" s="29">
        <v>284.6</v>
      </c>
      <c r="E99" s="19">
        <f t="shared" si="22"/>
        <v>1229.472</v>
      </c>
      <c r="F99" s="19">
        <f t="shared" si="23"/>
        <v>4064.0880000000006</v>
      </c>
      <c r="G99" s="19">
        <f t="shared" si="24"/>
        <v>4029.9360000000006</v>
      </c>
      <c r="H99" s="19">
        <f t="shared" si="25"/>
        <v>887.9520000000001</v>
      </c>
      <c r="I99" s="19">
        <f t="shared" si="26"/>
        <v>204.912</v>
      </c>
      <c r="J99" s="19">
        <f t="shared" si="27"/>
        <v>614.736</v>
      </c>
      <c r="K99" s="19">
        <f>5*230</f>
        <v>1150</v>
      </c>
      <c r="L99" s="8"/>
      <c r="M99" s="8"/>
      <c r="N99" s="8"/>
      <c r="O99" s="24">
        <f t="shared" si="17"/>
        <v>782.6500000000001</v>
      </c>
      <c r="P99" s="32">
        <f t="shared" si="28"/>
        <v>12963.746000000001</v>
      </c>
      <c r="Q99" s="32"/>
      <c r="R99" s="34">
        <f t="shared" si="18"/>
        <v>10501.740000000002</v>
      </c>
      <c r="S99" s="19"/>
      <c r="T99" s="19"/>
      <c r="U99" s="19"/>
      <c r="V99" s="19"/>
      <c r="W99" s="19"/>
      <c r="X99" s="19"/>
      <c r="Y99" s="32">
        <f t="shared" si="29"/>
        <v>0</v>
      </c>
      <c r="Z99" s="32">
        <f t="shared" si="19"/>
        <v>4405.608</v>
      </c>
      <c r="AA99" s="32"/>
      <c r="AB99" s="32">
        <f t="shared" si="32"/>
        <v>1673.448</v>
      </c>
      <c r="AC99" s="34">
        <f t="shared" si="20"/>
        <v>799.2800000000001</v>
      </c>
      <c r="AD99" s="8"/>
      <c r="AE99" s="8"/>
      <c r="AF99" s="34"/>
      <c r="AG99" s="32">
        <f t="shared" si="21"/>
        <v>4029.9360000000006</v>
      </c>
      <c r="AH99" s="32"/>
      <c r="AI99" s="32">
        <f t="shared" si="30"/>
        <v>34373.758</v>
      </c>
    </row>
    <row r="100" spans="1:35" ht="15.75">
      <c r="A100" s="3" t="s">
        <v>79</v>
      </c>
      <c r="B100" s="4" t="s">
        <v>81</v>
      </c>
      <c r="C100" s="3" t="s">
        <v>2</v>
      </c>
      <c r="D100" s="29">
        <v>117.9</v>
      </c>
      <c r="E100" s="19">
        <f t="shared" si="22"/>
        <v>509.32800000000003</v>
      </c>
      <c r="F100" s="19">
        <f t="shared" si="23"/>
        <v>1683.6119999999999</v>
      </c>
      <c r="G100" s="19">
        <f t="shared" si="24"/>
        <v>1669.464</v>
      </c>
      <c r="H100" s="19">
        <f t="shared" si="25"/>
        <v>367.84800000000007</v>
      </c>
      <c r="I100" s="19">
        <f t="shared" si="26"/>
        <v>84.888</v>
      </c>
      <c r="J100" s="19">
        <f t="shared" si="27"/>
        <v>254.66400000000002</v>
      </c>
      <c r="K100" s="19">
        <f>3*230</f>
        <v>690</v>
      </c>
      <c r="L100" s="8"/>
      <c r="M100" s="8"/>
      <c r="N100" s="8"/>
      <c r="O100" s="24">
        <f t="shared" si="17"/>
        <v>324.2250000000001</v>
      </c>
      <c r="P100" s="32">
        <f t="shared" si="28"/>
        <v>5584.029</v>
      </c>
      <c r="Q100" s="32"/>
      <c r="R100" s="34">
        <f t="shared" si="18"/>
        <v>4350.51</v>
      </c>
      <c r="S100" s="19"/>
      <c r="T100" s="19"/>
      <c r="U100" s="19"/>
      <c r="V100" s="19"/>
      <c r="W100" s="19"/>
      <c r="X100" s="19"/>
      <c r="Y100" s="32">
        <f t="shared" si="29"/>
        <v>0</v>
      </c>
      <c r="Z100" s="32">
        <f t="shared" si="19"/>
        <v>1825.092</v>
      </c>
      <c r="AA100" s="32"/>
      <c r="AB100" s="32">
        <f t="shared" si="32"/>
        <v>693.252</v>
      </c>
      <c r="AC100" s="34">
        <f t="shared" si="20"/>
        <v>332.52</v>
      </c>
      <c r="AD100" s="8"/>
      <c r="AE100" s="8"/>
      <c r="AF100" s="34"/>
      <c r="AG100" s="32">
        <f t="shared" si="21"/>
        <v>1669.464</v>
      </c>
      <c r="AH100" s="32"/>
      <c r="AI100" s="32">
        <f t="shared" si="30"/>
        <v>14454.867000000002</v>
      </c>
    </row>
    <row r="101" spans="1:35" ht="15.75">
      <c r="A101" s="5" t="s">
        <v>79</v>
      </c>
      <c r="B101" s="5" t="s">
        <v>16</v>
      </c>
      <c r="C101" s="6"/>
      <c r="D101" s="29">
        <v>205.3</v>
      </c>
      <c r="E101" s="19">
        <f t="shared" si="22"/>
        <v>886.896</v>
      </c>
      <c r="F101" s="19">
        <f t="shared" si="23"/>
        <v>2931.684</v>
      </c>
      <c r="G101" s="19">
        <f t="shared" si="24"/>
        <v>2907.048</v>
      </c>
      <c r="H101" s="19">
        <f t="shared" si="25"/>
        <v>640.5360000000001</v>
      </c>
      <c r="I101" s="19">
        <f t="shared" si="26"/>
        <v>147.816</v>
      </c>
      <c r="J101" s="19">
        <f t="shared" si="27"/>
        <v>443.448</v>
      </c>
      <c r="K101" s="19">
        <f>2*230</f>
        <v>460</v>
      </c>
      <c r="L101" s="8"/>
      <c r="M101" s="8"/>
      <c r="N101" s="8"/>
      <c r="O101" s="24">
        <f t="shared" si="17"/>
        <v>564.575</v>
      </c>
      <c r="P101" s="32">
        <f t="shared" si="28"/>
        <v>8982.003</v>
      </c>
      <c r="Q101" s="32"/>
      <c r="R101" s="34">
        <f t="shared" si="18"/>
        <v>7575.5700000000015</v>
      </c>
      <c r="S101" s="19"/>
      <c r="T101" s="19"/>
      <c r="U101" s="19"/>
      <c r="V101" s="19"/>
      <c r="W101" s="19"/>
      <c r="X101" s="19"/>
      <c r="Y101" s="32">
        <f t="shared" si="29"/>
        <v>0</v>
      </c>
      <c r="Z101" s="32">
        <f t="shared" si="19"/>
        <v>3178.044000000001</v>
      </c>
      <c r="AA101" s="32"/>
      <c r="AB101" s="32">
        <f t="shared" si="32"/>
        <v>1207.1640000000002</v>
      </c>
      <c r="AC101" s="34">
        <f t="shared" si="20"/>
        <v>577.24</v>
      </c>
      <c r="AD101" s="8"/>
      <c r="AE101" s="8"/>
      <c r="AF101" s="34"/>
      <c r="AG101" s="32">
        <f t="shared" si="21"/>
        <v>2907.048</v>
      </c>
      <c r="AH101" s="32"/>
      <c r="AI101" s="32">
        <f t="shared" si="30"/>
        <v>24427.069000000007</v>
      </c>
    </row>
    <row r="102" spans="1:35" ht="15.75">
      <c r="A102" s="3" t="s">
        <v>82</v>
      </c>
      <c r="B102" s="4" t="s">
        <v>34</v>
      </c>
      <c r="C102" s="3" t="s">
        <v>2</v>
      </c>
      <c r="D102" s="26">
        <v>813.6</v>
      </c>
      <c r="E102" s="19">
        <f t="shared" si="22"/>
        <v>3514.7520000000004</v>
      </c>
      <c r="F102" s="19">
        <f t="shared" si="23"/>
        <v>11618.207999999999</v>
      </c>
      <c r="G102" s="19">
        <f t="shared" si="24"/>
        <v>11520.576000000001</v>
      </c>
      <c r="H102" s="19">
        <f t="shared" si="25"/>
        <v>2538.432</v>
      </c>
      <c r="I102" s="19">
        <f t="shared" si="26"/>
        <v>585.792</v>
      </c>
      <c r="J102" s="19">
        <f t="shared" si="27"/>
        <v>1757.3760000000002</v>
      </c>
      <c r="K102" s="19">
        <f>11*8*4+11*6*2</f>
        <v>484</v>
      </c>
      <c r="L102" s="8">
        <f>144.73*18</f>
        <v>2605.14</v>
      </c>
      <c r="M102" s="8"/>
      <c r="N102" s="8">
        <f>16*20.77</f>
        <v>332.32</v>
      </c>
      <c r="O102" s="24">
        <f t="shared" si="17"/>
        <v>2237.4000000000005</v>
      </c>
      <c r="P102" s="32">
        <f t="shared" si="28"/>
        <v>37193.99600000001</v>
      </c>
      <c r="Q102" s="32"/>
      <c r="R102" s="34">
        <f t="shared" si="18"/>
        <v>30021.840000000004</v>
      </c>
      <c r="S102" s="19"/>
      <c r="T102" s="19"/>
      <c r="U102" s="19">
        <v>13902</v>
      </c>
      <c r="V102" s="19">
        <f>142*150</f>
        <v>21300</v>
      </c>
      <c r="W102" s="19"/>
      <c r="X102" s="19"/>
      <c r="Y102" s="32">
        <f t="shared" si="29"/>
        <v>35202</v>
      </c>
      <c r="Z102" s="32">
        <f t="shared" si="19"/>
        <v>12594.528000000002</v>
      </c>
      <c r="AA102" s="32"/>
      <c r="AB102" s="32">
        <f t="shared" si="32"/>
        <v>4783.968</v>
      </c>
      <c r="AC102" s="34">
        <f t="shared" si="20"/>
        <v>2280.4800000000005</v>
      </c>
      <c r="AD102" s="8"/>
      <c r="AE102" s="8"/>
      <c r="AF102" s="34"/>
      <c r="AG102" s="32">
        <f t="shared" si="21"/>
        <v>11520.576000000001</v>
      </c>
      <c r="AH102" s="32">
        <v>57500</v>
      </c>
      <c r="AI102" s="32">
        <f t="shared" si="30"/>
        <v>191097.388</v>
      </c>
    </row>
    <row r="103" spans="1:35" ht="15.75">
      <c r="A103" s="3" t="s">
        <v>82</v>
      </c>
      <c r="B103" s="4" t="s">
        <v>70</v>
      </c>
      <c r="C103" s="3" t="s">
        <v>2</v>
      </c>
      <c r="D103" s="26">
        <v>671</v>
      </c>
      <c r="E103" s="19">
        <f t="shared" si="22"/>
        <v>2898.7200000000003</v>
      </c>
      <c r="F103" s="19">
        <f t="shared" si="23"/>
        <v>9581.880000000001</v>
      </c>
      <c r="G103" s="19">
        <f t="shared" si="24"/>
        <v>9501.36</v>
      </c>
      <c r="H103" s="19">
        <f t="shared" si="25"/>
        <v>2093.52</v>
      </c>
      <c r="I103" s="19">
        <f t="shared" si="26"/>
        <v>483.12</v>
      </c>
      <c r="J103" s="19">
        <f t="shared" si="27"/>
        <v>1449.3600000000001</v>
      </c>
      <c r="K103" s="19">
        <f>12*8*4+12*6*2</f>
        <v>528</v>
      </c>
      <c r="L103" s="8">
        <f>144.73*18</f>
        <v>2605.14</v>
      </c>
      <c r="M103" s="8"/>
      <c r="N103" s="8"/>
      <c r="O103" s="24">
        <f t="shared" si="17"/>
        <v>1845.25</v>
      </c>
      <c r="P103" s="32">
        <f t="shared" si="28"/>
        <v>30986.350000000002</v>
      </c>
      <c r="Q103" s="32"/>
      <c r="R103" s="34">
        <f t="shared" si="18"/>
        <v>24759.9</v>
      </c>
      <c r="S103" s="19"/>
      <c r="T103" s="19"/>
      <c r="U103" s="19">
        <v>78948</v>
      </c>
      <c r="V103" s="19">
        <f>110*150</f>
        <v>16500</v>
      </c>
      <c r="W103" s="19"/>
      <c r="X103" s="19"/>
      <c r="Y103" s="32">
        <f t="shared" si="29"/>
        <v>95448</v>
      </c>
      <c r="Z103" s="32">
        <f t="shared" si="19"/>
        <v>10387.08</v>
      </c>
      <c r="AA103" s="32"/>
      <c r="AB103" s="32">
        <f t="shared" si="32"/>
        <v>3945.4800000000005</v>
      </c>
      <c r="AC103" s="34">
        <f t="shared" si="20"/>
        <v>1881.2000000000003</v>
      </c>
      <c r="AD103" s="8"/>
      <c r="AE103" s="8"/>
      <c r="AF103" s="34"/>
      <c r="AG103" s="32">
        <f t="shared" si="21"/>
        <v>9501.36</v>
      </c>
      <c r="AH103" s="32">
        <v>57500</v>
      </c>
      <c r="AI103" s="32">
        <f t="shared" si="30"/>
        <v>234409.37</v>
      </c>
    </row>
    <row r="104" spans="1:35" ht="15.75">
      <c r="A104" s="3" t="s">
        <v>82</v>
      </c>
      <c r="B104" s="4" t="s">
        <v>35</v>
      </c>
      <c r="C104" s="3" t="s">
        <v>2</v>
      </c>
      <c r="D104" s="26">
        <v>4824</v>
      </c>
      <c r="E104" s="19">
        <f t="shared" si="22"/>
        <v>20839.68</v>
      </c>
      <c r="F104" s="19">
        <f t="shared" si="23"/>
        <v>68886.72</v>
      </c>
      <c r="G104" s="19">
        <f t="shared" si="24"/>
        <v>68307.84</v>
      </c>
      <c r="H104" s="19">
        <f t="shared" si="25"/>
        <v>15050.880000000001</v>
      </c>
      <c r="I104" s="19">
        <f t="shared" si="26"/>
        <v>3473.2799999999997</v>
      </c>
      <c r="J104" s="19">
        <f t="shared" si="27"/>
        <v>10419.84</v>
      </c>
      <c r="K104" s="19">
        <f>105*8*4+105*6*2</f>
        <v>4620</v>
      </c>
      <c r="L104" s="8">
        <f>144.73*3</f>
        <v>434.18999999999994</v>
      </c>
      <c r="M104" s="8"/>
      <c r="N104" s="8"/>
      <c r="O104" s="24">
        <f t="shared" si="17"/>
        <v>13266.000000000002</v>
      </c>
      <c r="P104" s="32">
        <f t="shared" si="28"/>
        <v>205298.43</v>
      </c>
      <c r="Q104" s="32">
        <f>D104*1.27*5+D104*1.34*7</f>
        <v>75881.52</v>
      </c>
      <c r="R104" s="34">
        <f t="shared" si="18"/>
        <v>178005.6</v>
      </c>
      <c r="S104" s="8"/>
      <c r="T104" s="8"/>
      <c r="U104" s="8"/>
      <c r="V104" s="19"/>
      <c r="W104" s="19"/>
      <c r="X104" s="19"/>
      <c r="Y104" s="32">
        <f t="shared" si="29"/>
        <v>0</v>
      </c>
      <c r="Z104" s="32">
        <f t="shared" si="19"/>
        <v>74675.52</v>
      </c>
      <c r="AA104" s="32"/>
      <c r="AB104" s="32">
        <f t="shared" si="32"/>
        <v>28365.119999999995</v>
      </c>
      <c r="AC104" s="34">
        <f t="shared" si="20"/>
        <v>13509.6</v>
      </c>
      <c r="AD104" s="8"/>
      <c r="AE104" s="8"/>
      <c r="AF104" s="34"/>
      <c r="AG104" s="32">
        <f t="shared" si="21"/>
        <v>68307.84</v>
      </c>
      <c r="AH104" s="32">
        <v>230000</v>
      </c>
      <c r="AI104" s="32">
        <f t="shared" si="30"/>
        <v>874043.63</v>
      </c>
    </row>
    <row r="105" spans="1:35" ht="15.75">
      <c r="A105" s="3" t="s">
        <v>82</v>
      </c>
      <c r="B105" s="4" t="s">
        <v>6</v>
      </c>
      <c r="C105" s="3" t="s">
        <v>2</v>
      </c>
      <c r="D105" s="26">
        <v>844.1</v>
      </c>
      <c r="E105" s="19">
        <f t="shared" si="22"/>
        <v>3646.5119999999997</v>
      </c>
      <c r="F105" s="19">
        <f t="shared" si="23"/>
        <v>12053.748</v>
      </c>
      <c r="G105" s="19">
        <f t="shared" si="24"/>
        <v>11952.456</v>
      </c>
      <c r="H105" s="19">
        <f t="shared" si="25"/>
        <v>2633.592</v>
      </c>
      <c r="I105" s="19">
        <f t="shared" si="26"/>
        <v>607.752</v>
      </c>
      <c r="J105" s="19">
        <f t="shared" si="27"/>
        <v>1823.2559999999999</v>
      </c>
      <c r="K105" s="19">
        <f>16*8*4+16*6*2</f>
        <v>704</v>
      </c>
      <c r="L105" s="8">
        <f>144.73*20</f>
        <v>2894.6</v>
      </c>
      <c r="M105" s="8"/>
      <c r="N105" s="8"/>
      <c r="O105" s="24">
        <f t="shared" si="17"/>
        <v>2321.275</v>
      </c>
      <c r="P105" s="32">
        <f t="shared" si="28"/>
        <v>38637.191000000006</v>
      </c>
      <c r="Q105" s="32"/>
      <c r="R105" s="34">
        <f t="shared" si="18"/>
        <v>31147.290000000005</v>
      </c>
      <c r="S105" s="19">
        <v>91000</v>
      </c>
      <c r="T105" s="19"/>
      <c r="U105" s="19"/>
      <c r="V105" s="19">
        <f>180*150</f>
        <v>27000</v>
      </c>
      <c r="W105" s="19"/>
      <c r="X105" s="19"/>
      <c r="Y105" s="32">
        <f t="shared" si="29"/>
        <v>118000</v>
      </c>
      <c r="Z105" s="32">
        <f t="shared" si="19"/>
        <v>13066.668000000001</v>
      </c>
      <c r="AA105" s="32"/>
      <c r="AB105" s="32">
        <f t="shared" si="32"/>
        <v>4963.308</v>
      </c>
      <c r="AC105" s="34">
        <f t="shared" si="20"/>
        <v>2365.8800000000006</v>
      </c>
      <c r="AD105" s="8"/>
      <c r="AE105" s="8"/>
      <c r="AF105" s="34"/>
      <c r="AG105" s="32">
        <f t="shared" si="21"/>
        <v>11952.456</v>
      </c>
      <c r="AH105" s="32">
        <v>57500</v>
      </c>
      <c r="AI105" s="32">
        <f t="shared" si="30"/>
        <v>277632.79300000006</v>
      </c>
    </row>
    <row r="106" spans="1:35" ht="15.75">
      <c r="A106" s="3" t="s">
        <v>83</v>
      </c>
      <c r="B106" s="4" t="s">
        <v>69</v>
      </c>
      <c r="C106" s="3" t="s">
        <v>2</v>
      </c>
      <c r="D106" s="26">
        <v>972.6</v>
      </c>
      <c r="E106" s="19">
        <f t="shared" si="22"/>
        <v>4201.632</v>
      </c>
      <c r="F106" s="19">
        <f t="shared" si="23"/>
        <v>13888.728</v>
      </c>
      <c r="G106" s="19">
        <f t="shared" si="24"/>
        <v>13772.016</v>
      </c>
      <c r="H106" s="19">
        <f t="shared" si="25"/>
        <v>3034.512</v>
      </c>
      <c r="I106" s="19">
        <f t="shared" si="26"/>
        <v>700.272</v>
      </c>
      <c r="J106" s="19">
        <f t="shared" si="27"/>
        <v>2100.816</v>
      </c>
      <c r="K106" s="19">
        <f>24*8*4+24*6*2</f>
        <v>1056</v>
      </c>
      <c r="L106" s="8">
        <f>144.73*30</f>
        <v>4341.9</v>
      </c>
      <c r="M106" s="8"/>
      <c r="N106" s="8"/>
      <c r="O106" s="24">
        <f t="shared" si="17"/>
        <v>2674.6500000000005</v>
      </c>
      <c r="P106" s="32">
        <f t="shared" si="28"/>
        <v>45770.526</v>
      </c>
      <c r="Q106" s="32"/>
      <c r="R106" s="34">
        <f t="shared" si="18"/>
        <v>35888.94</v>
      </c>
      <c r="S106" s="19"/>
      <c r="T106" s="19"/>
      <c r="U106" s="19"/>
      <c r="V106" s="19"/>
      <c r="W106" s="19">
        <f>6*220</f>
        <v>1320</v>
      </c>
      <c r="X106" s="19"/>
      <c r="Y106" s="32">
        <f t="shared" si="29"/>
        <v>1320</v>
      </c>
      <c r="Z106" s="32">
        <f t="shared" si="19"/>
        <v>15055.848</v>
      </c>
      <c r="AA106" s="32"/>
      <c r="AB106" s="32">
        <f t="shared" si="32"/>
        <v>5718.888</v>
      </c>
      <c r="AC106" s="34">
        <f t="shared" si="20"/>
        <v>2725.6800000000003</v>
      </c>
      <c r="AD106" s="8"/>
      <c r="AE106" s="8"/>
      <c r="AF106" s="34"/>
      <c r="AG106" s="32">
        <f t="shared" si="21"/>
        <v>13772.016</v>
      </c>
      <c r="AH106" s="32">
        <v>57500</v>
      </c>
      <c r="AI106" s="32">
        <f t="shared" si="30"/>
        <v>177751.89800000002</v>
      </c>
    </row>
    <row r="107" spans="1:35" ht="15.75">
      <c r="A107" s="3" t="s">
        <v>83</v>
      </c>
      <c r="B107" s="4" t="s">
        <v>34</v>
      </c>
      <c r="C107" s="3" t="s">
        <v>2</v>
      </c>
      <c r="D107" s="26">
        <v>270.7</v>
      </c>
      <c r="E107" s="19">
        <f t="shared" si="22"/>
        <v>1169.424</v>
      </c>
      <c r="F107" s="19">
        <f t="shared" si="23"/>
        <v>3865.5959999999995</v>
      </c>
      <c r="G107" s="19">
        <f t="shared" si="24"/>
        <v>3833.112</v>
      </c>
      <c r="H107" s="19">
        <f t="shared" si="25"/>
        <v>844.5840000000001</v>
      </c>
      <c r="I107" s="19">
        <f t="shared" si="26"/>
        <v>194.90399999999997</v>
      </c>
      <c r="J107" s="19">
        <f t="shared" si="27"/>
        <v>584.712</v>
      </c>
      <c r="K107" s="19">
        <f>4*6*2</f>
        <v>48</v>
      </c>
      <c r="L107" s="8">
        <f>144.73*8</f>
        <v>1157.84</v>
      </c>
      <c r="M107" s="8"/>
      <c r="N107" s="8"/>
      <c r="O107" s="24">
        <f t="shared" si="17"/>
        <v>744.4250000000001</v>
      </c>
      <c r="P107" s="32">
        <f t="shared" si="28"/>
        <v>12442.597</v>
      </c>
      <c r="Q107" s="32"/>
      <c r="R107" s="34">
        <f t="shared" si="18"/>
        <v>9988.829999999998</v>
      </c>
      <c r="S107" s="19"/>
      <c r="T107" s="19"/>
      <c r="U107" s="19"/>
      <c r="V107" s="19"/>
      <c r="W107" s="19"/>
      <c r="X107" s="19"/>
      <c r="Y107" s="32">
        <f t="shared" si="29"/>
        <v>0</v>
      </c>
      <c r="Z107" s="32">
        <f t="shared" si="19"/>
        <v>4190.436</v>
      </c>
      <c r="AA107" s="32"/>
      <c r="AB107" s="32">
        <f t="shared" si="32"/>
        <v>1591.716</v>
      </c>
      <c r="AC107" s="34">
        <f t="shared" si="20"/>
        <v>760.36</v>
      </c>
      <c r="AD107" s="8"/>
      <c r="AE107" s="8"/>
      <c r="AF107" s="34"/>
      <c r="AG107" s="32">
        <f t="shared" si="21"/>
        <v>3833.112</v>
      </c>
      <c r="AH107" s="32"/>
      <c r="AI107" s="32">
        <f t="shared" si="30"/>
        <v>32807.051</v>
      </c>
    </row>
    <row r="108" spans="1:35" ht="15.75">
      <c r="A108" s="3" t="s">
        <v>83</v>
      </c>
      <c r="B108" s="4" t="s">
        <v>70</v>
      </c>
      <c r="C108" s="3" t="s">
        <v>2</v>
      </c>
      <c r="D108" s="26">
        <v>424.8</v>
      </c>
      <c r="E108" s="19">
        <f t="shared" si="22"/>
        <v>1835.136</v>
      </c>
      <c r="F108" s="19">
        <f t="shared" si="23"/>
        <v>6066.144</v>
      </c>
      <c r="G108" s="19">
        <f t="shared" si="24"/>
        <v>6015.168</v>
      </c>
      <c r="H108" s="19">
        <f t="shared" si="25"/>
        <v>1325.3760000000002</v>
      </c>
      <c r="I108" s="19">
        <f t="shared" si="26"/>
        <v>305.856</v>
      </c>
      <c r="J108" s="19">
        <f t="shared" si="27"/>
        <v>917.568</v>
      </c>
      <c r="K108" s="19">
        <f>8*6*2</f>
        <v>96</v>
      </c>
      <c r="L108" s="8">
        <f>144.73*12</f>
        <v>1736.7599999999998</v>
      </c>
      <c r="M108" s="8"/>
      <c r="N108" s="8"/>
      <c r="O108" s="24">
        <f t="shared" si="17"/>
        <v>1168.2</v>
      </c>
      <c r="P108" s="32">
        <f t="shared" si="28"/>
        <v>19466.208</v>
      </c>
      <c r="Q108" s="32"/>
      <c r="R108" s="34">
        <f t="shared" si="18"/>
        <v>15675.12</v>
      </c>
      <c r="S108" s="19"/>
      <c r="T108" s="19"/>
      <c r="U108" s="19"/>
      <c r="V108" s="19"/>
      <c r="W108" s="19"/>
      <c r="X108" s="19">
        <v>5000</v>
      </c>
      <c r="Y108" s="32">
        <f t="shared" si="29"/>
        <v>5000</v>
      </c>
      <c r="Z108" s="32">
        <f t="shared" si="19"/>
        <v>6575.904</v>
      </c>
      <c r="AA108" s="32"/>
      <c r="AB108" s="32">
        <f t="shared" si="32"/>
        <v>2497.824</v>
      </c>
      <c r="AC108" s="34">
        <f t="shared" si="20"/>
        <v>1191.8400000000001</v>
      </c>
      <c r="AD108" s="8"/>
      <c r="AE108" s="8"/>
      <c r="AF108" s="34"/>
      <c r="AG108" s="32">
        <f t="shared" si="21"/>
        <v>6015.168</v>
      </c>
      <c r="AH108" s="32"/>
      <c r="AI108" s="32">
        <f t="shared" si="30"/>
        <v>56422.064000000006</v>
      </c>
    </row>
    <row r="109" spans="1:35" ht="15.75">
      <c r="A109" s="3" t="s">
        <v>83</v>
      </c>
      <c r="B109" s="4" t="s">
        <v>9</v>
      </c>
      <c r="C109" s="3" t="s">
        <v>2</v>
      </c>
      <c r="D109" s="26">
        <v>3200.3</v>
      </c>
      <c r="E109" s="19">
        <f t="shared" si="22"/>
        <v>13825.295999999998</v>
      </c>
      <c r="F109" s="19">
        <f t="shared" si="23"/>
        <v>45700.284</v>
      </c>
      <c r="G109" s="19">
        <f t="shared" si="24"/>
        <v>45316.248</v>
      </c>
      <c r="H109" s="19">
        <f t="shared" si="25"/>
        <v>9984.936000000002</v>
      </c>
      <c r="I109" s="19">
        <f t="shared" si="26"/>
        <v>2304.216</v>
      </c>
      <c r="J109" s="19">
        <f t="shared" si="27"/>
        <v>6912.647999999999</v>
      </c>
      <c r="K109" s="19">
        <f>80*6*2</f>
        <v>960</v>
      </c>
      <c r="L109" s="8">
        <f>144.73*2</f>
        <v>289.46</v>
      </c>
      <c r="M109" s="8"/>
      <c r="N109" s="8"/>
      <c r="O109" s="24">
        <f t="shared" si="17"/>
        <v>8800.825</v>
      </c>
      <c r="P109" s="32">
        <f t="shared" si="28"/>
        <v>134093.91300000003</v>
      </c>
      <c r="Q109" s="32">
        <f aca="true" t="shared" si="33" ref="Q109:Q114">D109*1.27*5+D109*1.34*7</f>
        <v>50340.71900000001</v>
      </c>
      <c r="R109" s="34">
        <f t="shared" si="18"/>
        <v>118091.07000000002</v>
      </c>
      <c r="S109" s="19"/>
      <c r="T109" s="19"/>
      <c r="U109" s="19"/>
      <c r="V109" s="19"/>
      <c r="W109" s="19"/>
      <c r="X109" s="19">
        <v>6000</v>
      </c>
      <c r="Y109" s="32">
        <f t="shared" si="29"/>
        <v>6000</v>
      </c>
      <c r="Z109" s="32">
        <f t="shared" si="19"/>
        <v>49540.64400000001</v>
      </c>
      <c r="AA109" s="32"/>
      <c r="AB109" s="32">
        <f t="shared" si="32"/>
        <v>18817.764000000003</v>
      </c>
      <c r="AC109" s="34">
        <f t="shared" si="20"/>
        <v>8963.24</v>
      </c>
      <c r="AD109" s="8"/>
      <c r="AE109" s="8"/>
      <c r="AF109" s="34"/>
      <c r="AG109" s="32">
        <f t="shared" si="21"/>
        <v>45316.248</v>
      </c>
      <c r="AH109" s="32"/>
      <c r="AI109" s="32">
        <f t="shared" si="30"/>
        <v>431163.5980000001</v>
      </c>
    </row>
    <row r="110" spans="1:35" ht="15.75">
      <c r="A110" s="3" t="s">
        <v>83</v>
      </c>
      <c r="B110" s="4" t="s">
        <v>10</v>
      </c>
      <c r="C110" s="3" t="s">
        <v>2</v>
      </c>
      <c r="D110" s="26">
        <v>3200.3</v>
      </c>
      <c r="E110" s="19">
        <f t="shared" si="22"/>
        <v>13825.295999999998</v>
      </c>
      <c r="F110" s="19">
        <f t="shared" si="23"/>
        <v>45700.284</v>
      </c>
      <c r="G110" s="19">
        <f t="shared" si="24"/>
        <v>45316.248</v>
      </c>
      <c r="H110" s="19">
        <f t="shared" si="25"/>
        <v>9984.936000000002</v>
      </c>
      <c r="I110" s="19">
        <f t="shared" si="26"/>
        <v>2304.216</v>
      </c>
      <c r="J110" s="19">
        <f t="shared" si="27"/>
        <v>6912.647999999999</v>
      </c>
      <c r="K110" s="19">
        <f>60*6*2</f>
        <v>720</v>
      </c>
      <c r="L110" s="8">
        <f>144.73*3</f>
        <v>434.18999999999994</v>
      </c>
      <c r="M110" s="8"/>
      <c r="N110" s="8"/>
      <c r="O110" s="24">
        <f t="shared" si="17"/>
        <v>8800.825</v>
      </c>
      <c r="P110" s="32">
        <f t="shared" si="28"/>
        <v>133998.643</v>
      </c>
      <c r="Q110" s="32">
        <f t="shared" si="33"/>
        <v>50340.71900000001</v>
      </c>
      <c r="R110" s="34">
        <f t="shared" si="18"/>
        <v>118091.07000000002</v>
      </c>
      <c r="S110" s="19"/>
      <c r="T110" s="19"/>
      <c r="U110" s="19"/>
      <c r="V110" s="19"/>
      <c r="W110" s="19"/>
      <c r="X110" s="19"/>
      <c r="Y110" s="32">
        <f t="shared" si="29"/>
        <v>0</v>
      </c>
      <c r="Z110" s="32">
        <f t="shared" si="19"/>
        <v>49540.64400000001</v>
      </c>
      <c r="AA110" s="32"/>
      <c r="AB110" s="32">
        <f t="shared" si="32"/>
        <v>18817.764000000003</v>
      </c>
      <c r="AC110" s="34">
        <f t="shared" si="20"/>
        <v>8963.24</v>
      </c>
      <c r="AD110" s="8"/>
      <c r="AE110" s="8"/>
      <c r="AF110" s="34"/>
      <c r="AG110" s="32">
        <f t="shared" si="21"/>
        <v>45316.248</v>
      </c>
      <c r="AH110" s="32"/>
      <c r="AI110" s="32">
        <f t="shared" si="30"/>
        <v>425068.3280000001</v>
      </c>
    </row>
    <row r="111" spans="1:35" ht="15.75">
      <c r="A111" s="3" t="s">
        <v>83</v>
      </c>
      <c r="B111" s="4" t="s">
        <v>13</v>
      </c>
      <c r="C111" s="3" t="s">
        <v>2</v>
      </c>
      <c r="D111" s="26">
        <v>3181.3</v>
      </c>
      <c r="E111" s="19">
        <f t="shared" si="22"/>
        <v>13743.216</v>
      </c>
      <c r="F111" s="19">
        <f t="shared" si="23"/>
        <v>45428.964</v>
      </c>
      <c r="G111" s="19">
        <f t="shared" si="24"/>
        <v>45047.208</v>
      </c>
      <c r="H111" s="19">
        <f t="shared" si="25"/>
        <v>9925.656</v>
      </c>
      <c r="I111" s="19">
        <f t="shared" si="26"/>
        <v>2290.536</v>
      </c>
      <c r="J111" s="19">
        <f t="shared" si="27"/>
        <v>6871.608</v>
      </c>
      <c r="K111" s="19">
        <f>80*6*2</f>
        <v>960</v>
      </c>
      <c r="L111" s="8">
        <f>144.73*2</f>
        <v>289.46</v>
      </c>
      <c r="M111" s="8"/>
      <c r="N111" s="8"/>
      <c r="O111" s="24">
        <f t="shared" si="17"/>
        <v>8748.575</v>
      </c>
      <c r="P111" s="32">
        <f t="shared" si="28"/>
        <v>133305.22300000003</v>
      </c>
      <c r="Q111" s="32">
        <f t="shared" si="33"/>
        <v>50041.849</v>
      </c>
      <c r="R111" s="34">
        <f t="shared" si="18"/>
        <v>117389.97000000003</v>
      </c>
      <c r="S111" s="19"/>
      <c r="T111" s="19"/>
      <c r="U111" s="19"/>
      <c r="V111" s="19"/>
      <c r="W111" s="19"/>
      <c r="X111" s="19"/>
      <c r="Y111" s="32">
        <f t="shared" si="29"/>
        <v>0</v>
      </c>
      <c r="Z111" s="32">
        <f t="shared" si="19"/>
        <v>49246.524000000005</v>
      </c>
      <c r="AA111" s="32"/>
      <c r="AB111" s="32">
        <f t="shared" si="32"/>
        <v>18706.044</v>
      </c>
      <c r="AC111" s="34">
        <f t="shared" si="20"/>
        <v>8910.04</v>
      </c>
      <c r="AD111" s="8"/>
      <c r="AE111" s="8"/>
      <c r="AF111" s="34"/>
      <c r="AG111" s="32">
        <f t="shared" si="21"/>
        <v>45047.208</v>
      </c>
      <c r="AH111" s="32"/>
      <c r="AI111" s="32">
        <f t="shared" si="30"/>
        <v>422646.85800000007</v>
      </c>
    </row>
    <row r="112" spans="1:35" ht="15.75">
      <c r="A112" s="3" t="s">
        <v>83</v>
      </c>
      <c r="B112" s="4" t="s">
        <v>15</v>
      </c>
      <c r="C112" s="3" t="s">
        <v>2</v>
      </c>
      <c r="D112" s="26">
        <v>3172.8</v>
      </c>
      <c r="E112" s="19">
        <f t="shared" si="22"/>
        <v>13706.496000000001</v>
      </c>
      <c r="F112" s="19">
        <f t="shared" si="23"/>
        <v>45307.584</v>
      </c>
      <c r="G112" s="19">
        <f t="shared" si="24"/>
        <v>44926.848</v>
      </c>
      <c r="H112" s="19">
        <f t="shared" si="25"/>
        <v>9899.136000000002</v>
      </c>
      <c r="I112" s="19">
        <f t="shared" si="26"/>
        <v>2284.416</v>
      </c>
      <c r="J112" s="19">
        <f t="shared" si="27"/>
        <v>6853.2480000000005</v>
      </c>
      <c r="K112" s="19">
        <f>80*6*2</f>
        <v>960</v>
      </c>
      <c r="L112" s="8">
        <f>144.73*3</f>
        <v>434.18999999999994</v>
      </c>
      <c r="M112" s="8"/>
      <c r="N112" s="8"/>
      <c r="O112" s="24">
        <f t="shared" si="17"/>
        <v>8725.2</v>
      </c>
      <c r="P112" s="32">
        <f t="shared" si="28"/>
        <v>133097.11800000002</v>
      </c>
      <c r="Q112" s="32">
        <f t="shared" si="33"/>
        <v>49908.144</v>
      </c>
      <c r="R112" s="34">
        <f t="shared" si="18"/>
        <v>117076.32000000002</v>
      </c>
      <c r="S112" s="19"/>
      <c r="T112" s="19"/>
      <c r="U112" s="19"/>
      <c r="V112" s="19"/>
      <c r="W112" s="19"/>
      <c r="X112" s="19"/>
      <c r="Y112" s="32">
        <f t="shared" si="29"/>
        <v>0</v>
      </c>
      <c r="Z112" s="32">
        <f t="shared" si="19"/>
        <v>49114.944</v>
      </c>
      <c r="AA112" s="32"/>
      <c r="AB112" s="32">
        <f t="shared" si="32"/>
        <v>18656.064</v>
      </c>
      <c r="AC112" s="34">
        <f t="shared" si="20"/>
        <v>8886.24</v>
      </c>
      <c r="AD112" s="8"/>
      <c r="AE112" s="8"/>
      <c r="AF112" s="34"/>
      <c r="AG112" s="32">
        <f t="shared" si="21"/>
        <v>44926.848</v>
      </c>
      <c r="AH112" s="32"/>
      <c r="AI112" s="32">
        <f t="shared" si="30"/>
        <v>421665.6780000001</v>
      </c>
    </row>
    <row r="113" spans="1:35" ht="15.75">
      <c r="A113" s="3" t="s">
        <v>83</v>
      </c>
      <c r="B113" s="4" t="s">
        <v>84</v>
      </c>
      <c r="C113" s="3" t="s">
        <v>2</v>
      </c>
      <c r="D113" s="26">
        <v>3515.1</v>
      </c>
      <c r="E113" s="19">
        <f t="shared" si="22"/>
        <v>15185.232</v>
      </c>
      <c r="F113" s="19">
        <f t="shared" si="23"/>
        <v>50195.628</v>
      </c>
      <c r="G113" s="19">
        <f t="shared" si="24"/>
        <v>49773.81599999999</v>
      </c>
      <c r="H113" s="19">
        <f t="shared" si="25"/>
        <v>10967.112000000001</v>
      </c>
      <c r="I113" s="19">
        <f t="shared" si="26"/>
        <v>2530.872</v>
      </c>
      <c r="J113" s="19">
        <f t="shared" si="27"/>
        <v>7592.616</v>
      </c>
      <c r="K113" s="19">
        <f>78*6*2</f>
        <v>936</v>
      </c>
      <c r="L113" s="8">
        <f>144.73*3</f>
        <v>434.18999999999994</v>
      </c>
      <c r="M113" s="8"/>
      <c r="N113" s="8"/>
      <c r="O113" s="24">
        <f t="shared" si="17"/>
        <v>9666.525</v>
      </c>
      <c r="P113" s="32">
        <f t="shared" si="28"/>
        <v>147281.991</v>
      </c>
      <c r="Q113" s="32">
        <f t="shared" si="33"/>
        <v>55292.523</v>
      </c>
      <c r="R113" s="34">
        <f t="shared" si="18"/>
        <v>129707.18999999999</v>
      </c>
      <c r="S113" s="19"/>
      <c r="T113" s="19"/>
      <c r="U113" s="19"/>
      <c r="V113" s="19"/>
      <c r="W113" s="19"/>
      <c r="X113" s="19">
        <v>159000</v>
      </c>
      <c r="Y113" s="32">
        <f t="shared" si="29"/>
        <v>159000</v>
      </c>
      <c r="Z113" s="32">
        <f t="shared" si="19"/>
        <v>54413.74800000001</v>
      </c>
      <c r="AA113" s="32"/>
      <c r="AB113" s="32">
        <f t="shared" si="32"/>
        <v>20668.788</v>
      </c>
      <c r="AC113" s="34">
        <f t="shared" si="20"/>
        <v>9844.679999999998</v>
      </c>
      <c r="AD113" s="8"/>
      <c r="AE113" s="8"/>
      <c r="AF113" s="34"/>
      <c r="AG113" s="32">
        <f t="shared" si="21"/>
        <v>49773.81599999999</v>
      </c>
      <c r="AH113" s="32"/>
      <c r="AI113" s="32">
        <f t="shared" si="30"/>
        <v>625982.736</v>
      </c>
    </row>
    <row r="114" spans="1:35" ht="15.75">
      <c r="A114" s="3" t="s">
        <v>83</v>
      </c>
      <c r="B114" s="4" t="s">
        <v>85</v>
      </c>
      <c r="C114" s="3" t="s">
        <v>2</v>
      </c>
      <c r="D114" s="26">
        <v>3499.1</v>
      </c>
      <c r="E114" s="19">
        <f t="shared" si="22"/>
        <v>15116.112</v>
      </c>
      <c r="F114" s="19">
        <f t="shared" si="23"/>
        <v>49967.148</v>
      </c>
      <c r="G114" s="19">
        <f t="shared" si="24"/>
        <v>49547.256</v>
      </c>
      <c r="H114" s="19">
        <f t="shared" si="25"/>
        <v>10917.192</v>
      </c>
      <c r="I114" s="19">
        <f t="shared" si="26"/>
        <v>2519.352</v>
      </c>
      <c r="J114" s="19">
        <f t="shared" si="27"/>
        <v>7558.056</v>
      </c>
      <c r="K114" s="19">
        <f>78*6*2</f>
        <v>936</v>
      </c>
      <c r="L114" s="8">
        <f>144.73*2</f>
        <v>289.46</v>
      </c>
      <c r="M114" s="8"/>
      <c r="N114" s="8"/>
      <c r="O114" s="24">
        <f t="shared" si="17"/>
        <v>9622.525000000001</v>
      </c>
      <c r="P114" s="32">
        <f t="shared" si="28"/>
        <v>146473.101</v>
      </c>
      <c r="Q114" s="32">
        <f t="shared" si="33"/>
        <v>55040.84299999999</v>
      </c>
      <c r="R114" s="34">
        <f t="shared" si="18"/>
        <v>129116.79</v>
      </c>
      <c r="S114" s="19"/>
      <c r="T114" s="19"/>
      <c r="U114" s="19"/>
      <c r="V114" s="19"/>
      <c r="W114" s="19"/>
      <c r="X114" s="19">
        <v>126400</v>
      </c>
      <c r="Y114" s="32">
        <f t="shared" si="29"/>
        <v>126400</v>
      </c>
      <c r="Z114" s="32">
        <f t="shared" si="19"/>
        <v>54166.068</v>
      </c>
      <c r="AA114" s="32"/>
      <c r="AB114" s="32">
        <f t="shared" si="32"/>
        <v>20574.708</v>
      </c>
      <c r="AC114" s="34">
        <f t="shared" si="20"/>
        <v>9799.880000000001</v>
      </c>
      <c r="AD114" s="8"/>
      <c r="AE114" s="8"/>
      <c r="AF114" s="34"/>
      <c r="AG114" s="32">
        <f t="shared" si="21"/>
        <v>49547.256</v>
      </c>
      <c r="AH114" s="32"/>
      <c r="AI114" s="32">
        <f t="shared" si="30"/>
        <v>591118.6460000001</v>
      </c>
    </row>
    <row r="115" spans="1:35" ht="15.75">
      <c r="A115" s="3" t="s">
        <v>83</v>
      </c>
      <c r="B115" s="4" t="s">
        <v>44</v>
      </c>
      <c r="C115" s="3" t="s">
        <v>2</v>
      </c>
      <c r="D115" s="26">
        <v>969.2</v>
      </c>
      <c r="E115" s="19">
        <f t="shared" si="22"/>
        <v>4186.9439999999995</v>
      </c>
      <c r="F115" s="19">
        <f t="shared" si="23"/>
        <v>13840.176</v>
      </c>
      <c r="G115" s="19">
        <f t="shared" si="24"/>
        <v>13723.872</v>
      </c>
      <c r="H115" s="19">
        <f t="shared" si="25"/>
        <v>3023.9040000000005</v>
      </c>
      <c r="I115" s="19">
        <f t="shared" si="26"/>
        <v>697.8240000000001</v>
      </c>
      <c r="J115" s="19">
        <f t="shared" si="27"/>
        <v>2093.4719999999998</v>
      </c>
      <c r="K115" s="19">
        <f>24*8*4+24*6*2</f>
        <v>1056</v>
      </c>
      <c r="L115" s="8">
        <f>144.73*30</f>
        <v>4341.9</v>
      </c>
      <c r="M115" s="8"/>
      <c r="N115" s="8"/>
      <c r="O115" s="24">
        <f t="shared" si="17"/>
        <v>2665.3</v>
      </c>
      <c r="P115" s="32">
        <f t="shared" si="28"/>
        <v>45629.39200000001</v>
      </c>
      <c r="Q115" s="32"/>
      <c r="R115" s="34">
        <f t="shared" si="18"/>
        <v>35763.48000000001</v>
      </c>
      <c r="S115" s="19">
        <f>50*700</f>
        <v>35000</v>
      </c>
      <c r="T115" s="19"/>
      <c r="U115" s="19"/>
      <c r="V115" s="19">
        <f>150*150</f>
        <v>22500</v>
      </c>
      <c r="W115" s="19"/>
      <c r="X115" s="19"/>
      <c r="Y115" s="32">
        <f t="shared" si="29"/>
        <v>57500</v>
      </c>
      <c r="Z115" s="32">
        <f t="shared" si="19"/>
        <v>15003.216</v>
      </c>
      <c r="AA115" s="32"/>
      <c r="AB115" s="32">
        <f t="shared" si="32"/>
        <v>5698.896000000001</v>
      </c>
      <c r="AC115" s="34">
        <f t="shared" si="20"/>
        <v>2716.1600000000003</v>
      </c>
      <c r="AD115" s="8"/>
      <c r="AE115" s="8"/>
      <c r="AF115" s="34"/>
      <c r="AG115" s="32">
        <f t="shared" si="21"/>
        <v>13723.872</v>
      </c>
      <c r="AH115" s="32">
        <v>57500</v>
      </c>
      <c r="AI115" s="32">
        <f t="shared" si="30"/>
        <v>233535.01600000006</v>
      </c>
    </row>
    <row r="116" spans="1:35" ht="15.75">
      <c r="A116" s="3" t="s">
        <v>83</v>
      </c>
      <c r="B116" s="4" t="s">
        <v>67</v>
      </c>
      <c r="C116" s="3" t="s">
        <v>2</v>
      </c>
      <c r="D116" s="26">
        <v>2045.3</v>
      </c>
      <c r="E116" s="19">
        <f t="shared" si="22"/>
        <v>8835.696</v>
      </c>
      <c r="F116" s="19">
        <f t="shared" si="23"/>
        <v>29206.884</v>
      </c>
      <c r="G116" s="19">
        <f t="shared" si="24"/>
        <v>28961.447999999997</v>
      </c>
      <c r="H116" s="19">
        <f t="shared" si="25"/>
        <v>6381.336</v>
      </c>
      <c r="I116" s="19">
        <f t="shared" si="26"/>
        <v>1472.616</v>
      </c>
      <c r="J116" s="19">
        <f t="shared" si="27"/>
        <v>4417.848</v>
      </c>
      <c r="K116" s="19">
        <f>48*8*4+48*6*2</f>
        <v>2112</v>
      </c>
      <c r="L116" s="8">
        <f>144.73*3</f>
        <v>434.18999999999994</v>
      </c>
      <c r="M116" s="8"/>
      <c r="N116" s="8"/>
      <c r="O116" s="24">
        <f t="shared" si="17"/>
        <v>5624.575</v>
      </c>
      <c r="P116" s="32">
        <f t="shared" si="28"/>
        <v>87446.59299999998</v>
      </c>
      <c r="Q116" s="32">
        <f aca="true" t="shared" si="34" ref="Q116:Q129">D116*1.27*5+D116*1.34*7</f>
        <v>32172.569</v>
      </c>
      <c r="R116" s="34">
        <f t="shared" si="18"/>
        <v>75471.56999999999</v>
      </c>
      <c r="S116" s="19"/>
      <c r="T116" s="19"/>
      <c r="U116" s="19"/>
      <c r="V116" s="19"/>
      <c r="W116" s="19">
        <f>6*220</f>
        <v>1320</v>
      </c>
      <c r="X116" s="19"/>
      <c r="Y116" s="32">
        <f t="shared" si="29"/>
        <v>1320</v>
      </c>
      <c r="Z116" s="32">
        <f t="shared" si="19"/>
        <v>31661.244</v>
      </c>
      <c r="AA116" s="32"/>
      <c r="AB116" s="32">
        <f t="shared" si="32"/>
        <v>12026.364</v>
      </c>
      <c r="AC116" s="34">
        <f t="shared" si="20"/>
        <v>5729.24</v>
      </c>
      <c r="AD116" s="8"/>
      <c r="AE116" s="8"/>
      <c r="AF116" s="34"/>
      <c r="AG116" s="32">
        <f t="shared" si="21"/>
        <v>28961.447999999997</v>
      </c>
      <c r="AH116" s="32">
        <v>57500</v>
      </c>
      <c r="AI116" s="32">
        <f t="shared" si="30"/>
        <v>332289.02799999993</v>
      </c>
    </row>
    <row r="117" spans="1:35" ht="15.75">
      <c r="A117" s="3" t="s">
        <v>86</v>
      </c>
      <c r="B117" s="4" t="s">
        <v>1</v>
      </c>
      <c r="C117" s="3" t="s">
        <v>2</v>
      </c>
      <c r="D117" s="26">
        <v>2888.6</v>
      </c>
      <c r="E117" s="19">
        <f t="shared" si="22"/>
        <v>12478.752</v>
      </c>
      <c r="F117" s="19">
        <f t="shared" si="23"/>
        <v>41249.208</v>
      </c>
      <c r="G117" s="19">
        <f t="shared" si="24"/>
        <v>40902.576</v>
      </c>
      <c r="H117" s="19">
        <f t="shared" si="25"/>
        <v>9012.432</v>
      </c>
      <c r="I117" s="19">
        <f t="shared" si="26"/>
        <v>2079.7919999999995</v>
      </c>
      <c r="J117" s="19">
        <f t="shared" si="27"/>
        <v>6239.376</v>
      </c>
      <c r="K117" s="19">
        <f>32*8*4+32*6*2</f>
        <v>1408</v>
      </c>
      <c r="L117" s="8">
        <f>144.73*3</f>
        <v>434.18999999999994</v>
      </c>
      <c r="M117" s="8"/>
      <c r="N117" s="8"/>
      <c r="O117" s="24">
        <f t="shared" si="17"/>
        <v>7943.65</v>
      </c>
      <c r="P117" s="32">
        <f t="shared" si="28"/>
        <v>121747.976</v>
      </c>
      <c r="Q117" s="32">
        <f t="shared" si="34"/>
        <v>45437.678</v>
      </c>
      <c r="R117" s="34">
        <f t="shared" si="18"/>
        <v>106589.34</v>
      </c>
      <c r="S117" s="19">
        <f>35*700</f>
        <v>24500</v>
      </c>
      <c r="T117" s="19"/>
      <c r="U117" s="19"/>
      <c r="V117" s="19">
        <f>257*150</f>
        <v>38550</v>
      </c>
      <c r="W117" s="19"/>
      <c r="X117" s="19"/>
      <c r="Y117" s="32">
        <f t="shared" si="29"/>
        <v>63050</v>
      </c>
      <c r="Z117" s="32">
        <f t="shared" si="19"/>
        <v>44715.528</v>
      </c>
      <c r="AA117" s="32"/>
      <c r="AB117" s="32">
        <f t="shared" si="32"/>
        <v>16984.968</v>
      </c>
      <c r="AC117" s="34">
        <f t="shared" si="20"/>
        <v>8090.48</v>
      </c>
      <c r="AD117" s="8"/>
      <c r="AE117" s="8"/>
      <c r="AF117" s="34"/>
      <c r="AG117" s="32">
        <f t="shared" si="21"/>
        <v>40902.576</v>
      </c>
      <c r="AH117" s="32"/>
      <c r="AI117" s="32">
        <f t="shared" si="30"/>
        <v>447518.5459999999</v>
      </c>
    </row>
    <row r="118" spans="1:35" ht="15.75">
      <c r="A118" s="3" t="s">
        <v>86</v>
      </c>
      <c r="B118" s="4" t="s">
        <v>87</v>
      </c>
      <c r="C118" s="3" t="s">
        <v>2</v>
      </c>
      <c r="D118" s="26">
        <v>2559.6</v>
      </c>
      <c r="E118" s="19">
        <f t="shared" si="22"/>
        <v>11057.471999999998</v>
      </c>
      <c r="F118" s="19">
        <f t="shared" si="23"/>
        <v>36551.088</v>
      </c>
      <c r="G118" s="19">
        <f t="shared" si="24"/>
        <v>36243.935999999994</v>
      </c>
      <c r="H118" s="19">
        <f t="shared" si="25"/>
        <v>7985.951999999999</v>
      </c>
      <c r="I118" s="19">
        <f t="shared" si="26"/>
        <v>1842.9119999999998</v>
      </c>
      <c r="J118" s="19">
        <f t="shared" si="27"/>
        <v>5528.735999999999</v>
      </c>
      <c r="K118" s="19">
        <f>60*8+60*6*2</f>
        <v>1200</v>
      </c>
      <c r="L118" s="8">
        <f>144.73*3</f>
        <v>434.18999999999994</v>
      </c>
      <c r="M118" s="8"/>
      <c r="N118" s="8"/>
      <c r="O118" s="24">
        <f t="shared" si="17"/>
        <v>7038.9</v>
      </c>
      <c r="P118" s="32">
        <f t="shared" si="28"/>
        <v>107883.18599999999</v>
      </c>
      <c r="Q118" s="32">
        <f t="shared" si="34"/>
        <v>40262.508</v>
      </c>
      <c r="R118" s="34">
        <f t="shared" si="18"/>
        <v>94449.23999999999</v>
      </c>
      <c r="S118" s="19"/>
      <c r="T118" s="19"/>
      <c r="U118" s="19"/>
      <c r="V118" s="19"/>
      <c r="W118" s="19"/>
      <c r="X118" s="19"/>
      <c r="Y118" s="32">
        <f t="shared" si="29"/>
        <v>0</v>
      </c>
      <c r="Z118" s="32">
        <f t="shared" si="19"/>
        <v>39622.608</v>
      </c>
      <c r="AA118" s="32"/>
      <c r="AB118" s="32">
        <f t="shared" si="32"/>
        <v>15050.448</v>
      </c>
      <c r="AC118" s="34">
        <f t="shared" si="20"/>
        <v>7169.28</v>
      </c>
      <c r="AD118" s="8"/>
      <c r="AE118" s="8"/>
      <c r="AF118" s="34"/>
      <c r="AG118" s="32">
        <f t="shared" si="21"/>
        <v>36243.935999999994</v>
      </c>
      <c r="AH118" s="32"/>
      <c r="AI118" s="32">
        <f t="shared" si="30"/>
        <v>340681.20599999995</v>
      </c>
    </row>
    <row r="119" spans="1:35" ht="15.75">
      <c r="A119" s="3" t="s">
        <v>86</v>
      </c>
      <c r="B119" s="4" t="s">
        <v>88</v>
      </c>
      <c r="C119" s="3" t="s">
        <v>2</v>
      </c>
      <c r="D119" s="26">
        <v>2587.6</v>
      </c>
      <c r="E119" s="19">
        <f t="shared" si="22"/>
        <v>11178.431999999999</v>
      </c>
      <c r="F119" s="19">
        <f t="shared" si="23"/>
        <v>36950.928</v>
      </c>
      <c r="G119" s="19">
        <f t="shared" si="24"/>
        <v>36640.416</v>
      </c>
      <c r="H119" s="19">
        <f t="shared" si="25"/>
        <v>8073.312</v>
      </c>
      <c r="I119" s="19">
        <f t="shared" si="26"/>
        <v>1863.0720000000001</v>
      </c>
      <c r="J119" s="19">
        <f t="shared" si="27"/>
        <v>5589.215999999999</v>
      </c>
      <c r="K119" s="19">
        <f>60*6*2</f>
        <v>720</v>
      </c>
      <c r="L119" s="8">
        <f>144.73*3</f>
        <v>434.18999999999994</v>
      </c>
      <c r="M119" s="8"/>
      <c r="N119" s="8"/>
      <c r="O119" s="24">
        <f t="shared" si="17"/>
        <v>7115.900000000001</v>
      </c>
      <c r="P119" s="32">
        <f t="shared" si="28"/>
        <v>108565.466</v>
      </c>
      <c r="Q119" s="32">
        <f t="shared" si="34"/>
        <v>40702.948000000004</v>
      </c>
      <c r="R119" s="34">
        <f t="shared" si="18"/>
        <v>95482.43999999999</v>
      </c>
      <c r="S119" s="19"/>
      <c r="T119" s="19"/>
      <c r="U119" s="19"/>
      <c r="V119" s="19"/>
      <c r="W119" s="19"/>
      <c r="X119" s="19"/>
      <c r="Y119" s="32">
        <f t="shared" si="29"/>
        <v>0</v>
      </c>
      <c r="Z119" s="32">
        <f t="shared" si="19"/>
        <v>40056.047999999995</v>
      </c>
      <c r="AA119" s="32"/>
      <c r="AB119" s="32">
        <f t="shared" si="32"/>
        <v>15215.088</v>
      </c>
      <c r="AC119" s="34">
        <f t="shared" si="20"/>
        <v>7247.679999999999</v>
      </c>
      <c r="AD119" s="8"/>
      <c r="AE119" s="8"/>
      <c r="AF119" s="34"/>
      <c r="AG119" s="32">
        <f t="shared" si="21"/>
        <v>36640.416</v>
      </c>
      <c r="AH119" s="32"/>
      <c r="AI119" s="32">
        <f t="shared" si="30"/>
        <v>343910.086</v>
      </c>
    </row>
    <row r="120" spans="1:35" ht="15.75">
      <c r="A120" s="3" t="s">
        <v>86</v>
      </c>
      <c r="B120" s="4" t="s">
        <v>89</v>
      </c>
      <c r="C120" s="3" t="s">
        <v>2</v>
      </c>
      <c r="D120" s="26">
        <v>3426.2</v>
      </c>
      <c r="E120" s="19">
        <f t="shared" si="22"/>
        <v>14801.183999999997</v>
      </c>
      <c r="F120" s="19">
        <f t="shared" si="23"/>
        <v>48926.13599999999</v>
      </c>
      <c r="G120" s="19">
        <f t="shared" si="24"/>
        <v>48514.992</v>
      </c>
      <c r="H120" s="19">
        <f t="shared" si="25"/>
        <v>10689.744</v>
      </c>
      <c r="I120" s="19">
        <f t="shared" si="26"/>
        <v>2466.8639999999996</v>
      </c>
      <c r="J120" s="19">
        <f t="shared" si="27"/>
        <v>7400.591999999999</v>
      </c>
      <c r="K120" s="19">
        <f>70*6*2</f>
        <v>840</v>
      </c>
      <c r="L120" s="8">
        <f>144.73*82</f>
        <v>11867.859999999999</v>
      </c>
      <c r="M120" s="8"/>
      <c r="N120" s="8"/>
      <c r="O120" s="24">
        <f t="shared" si="17"/>
        <v>9422.050000000001</v>
      </c>
      <c r="P120" s="32">
        <f t="shared" si="28"/>
        <v>154929.42199999996</v>
      </c>
      <c r="Q120" s="32">
        <f t="shared" si="34"/>
        <v>53894.126</v>
      </c>
      <c r="R120" s="34">
        <f t="shared" si="18"/>
        <v>126426.77999999998</v>
      </c>
      <c r="S120" s="19"/>
      <c r="T120" s="19"/>
      <c r="U120" s="19"/>
      <c r="V120" s="19"/>
      <c r="W120" s="19"/>
      <c r="X120" s="19"/>
      <c r="Y120" s="32">
        <f t="shared" si="29"/>
        <v>0</v>
      </c>
      <c r="Z120" s="32">
        <f t="shared" si="19"/>
        <v>53037.576</v>
      </c>
      <c r="AA120" s="32"/>
      <c r="AB120" s="32">
        <f t="shared" si="32"/>
        <v>20146.056</v>
      </c>
      <c r="AC120" s="34">
        <f t="shared" si="20"/>
        <v>9595.76</v>
      </c>
      <c r="AD120" s="8"/>
      <c r="AE120" s="8"/>
      <c r="AF120" s="34"/>
      <c r="AG120" s="32">
        <f t="shared" si="21"/>
        <v>48514.992</v>
      </c>
      <c r="AH120" s="32"/>
      <c r="AI120" s="32">
        <f t="shared" si="30"/>
        <v>466544.71199999994</v>
      </c>
    </row>
    <row r="121" spans="1:35" ht="15.75">
      <c r="A121" s="3" t="s">
        <v>86</v>
      </c>
      <c r="B121" s="4" t="s">
        <v>72</v>
      </c>
      <c r="C121" s="3" t="s">
        <v>2</v>
      </c>
      <c r="D121" s="26">
        <v>2873.4</v>
      </c>
      <c r="E121" s="19">
        <f t="shared" si="22"/>
        <v>12413.088</v>
      </c>
      <c r="F121" s="19">
        <f t="shared" si="23"/>
        <v>41032.152</v>
      </c>
      <c r="G121" s="19">
        <f t="shared" si="24"/>
        <v>40687.344</v>
      </c>
      <c r="H121" s="19">
        <f t="shared" si="25"/>
        <v>8965.008000000002</v>
      </c>
      <c r="I121" s="19">
        <f t="shared" si="26"/>
        <v>2068.848</v>
      </c>
      <c r="J121" s="19">
        <f t="shared" si="27"/>
        <v>6206.544</v>
      </c>
      <c r="K121" s="19">
        <f>32*8*4+32*6*2</f>
        <v>1408</v>
      </c>
      <c r="L121" s="8">
        <f>144.73*3</f>
        <v>434.18999999999994</v>
      </c>
      <c r="M121" s="8"/>
      <c r="N121" s="8"/>
      <c r="O121" s="24">
        <f t="shared" si="17"/>
        <v>7901.85</v>
      </c>
      <c r="P121" s="32">
        <f t="shared" si="28"/>
        <v>121117.024</v>
      </c>
      <c r="Q121" s="32">
        <f t="shared" si="34"/>
        <v>45198.582</v>
      </c>
      <c r="R121" s="34">
        <f t="shared" si="18"/>
        <v>106028.46</v>
      </c>
      <c r="S121" s="19">
        <f>30*700</f>
        <v>21000</v>
      </c>
      <c r="T121" s="19"/>
      <c r="U121" s="19">
        <v>11205</v>
      </c>
      <c r="V121" s="19"/>
      <c r="W121" s="19"/>
      <c r="X121" s="19"/>
      <c r="Y121" s="32">
        <f t="shared" si="29"/>
        <v>32205</v>
      </c>
      <c r="Z121" s="32">
        <f t="shared" si="19"/>
        <v>44480.232</v>
      </c>
      <c r="AA121" s="32"/>
      <c r="AB121" s="32">
        <f t="shared" si="32"/>
        <v>16895.592</v>
      </c>
      <c r="AC121" s="34">
        <f t="shared" si="20"/>
        <v>8047.92</v>
      </c>
      <c r="AD121" s="8"/>
      <c r="AE121" s="8"/>
      <c r="AF121" s="34"/>
      <c r="AG121" s="32">
        <f t="shared" si="21"/>
        <v>40687.344</v>
      </c>
      <c r="AH121" s="32"/>
      <c r="AI121" s="32">
        <f t="shared" si="30"/>
        <v>414660.154</v>
      </c>
    </row>
    <row r="122" spans="1:35" ht="15.75">
      <c r="A122" s="3" t="s">
        <v>86</v>
      </c>
      <c r="B122" s="4" t="s">
        <v>16</v>
      </c>
      <c r="C122" s="3" t="s">
        <v>2</v>
      </c>
      <c r="D122" s="26">
        <v>3939.2</v>
      </c>
      <c r="E122" s="19">
        <f t="shared" si="22"/>
        <v>17017.343999999997</v>
      </c>
      <c r="F122" s="19">
        <f t="shared" si="23"/>
        <v>56251.77599999999</v>
      </c>
      <c r="G122" s="19">
        <f t="shared" si="24"/>
        <v>55779.07199999999</v>
      </c>
      <c r="H122" s="19">
        <f t="shared" si="25"/>
        <v>12290.304</v>
      </c>
      <c r="I122" s="19">
        <f t="shared" si="26"/>
        <v>2836.2239999999997</v>
      </c>
      <c r="J122" s="19">
        <f t="shared" si="27"/>
        <v>8508.671999999999</v>
      </c>
      <c r="K122" s="19">
        <f>70*6*2</f>
        <v>840</v>
      </c>
      <c r="L122" s="8">
        <f>144.73*86</f>
        <v>12446.779999999999</v>
      </c>
      <c r="M122" s="8"/>
      <c r="N122" s="8"/>
      <c r="O122" s="24">
        <f t="shared" si="17"/>
        <v>10832.8</v>
      </c>
      <c r="P122" s="32">
        <f t="shared" si="28"/>
        <v>176802.97199999995</v>
      </c>
      <c r="Q122" s="32">
        <f t="shared" si="34"/>
        <v>61963.616</v>
      </c>
      <c r="R122" s="34">
        <f t="shared" si="18"/>
        <v>145356.47999999998</v>
      </c>
      <c r="S122" s="19"/>
      <c r="T122" s="19">
        <f>200*135</f>
        <v>27000</v>
      </c>
      <c r="U122" s="19"/>
      <c r="V122" s="19"/>
      <c r="W122" s="19">
        <f>20*220</f>
        <v>4400</v>
      </c>
      <c r="X122" s="19">
        <v>94000</v>
      </c>
      <c r="Y122" s="32">
        <f t="shared" si="29"/>
        <v>125400</v>
      </c>
      <c r="Z122" s="32">
        <f t="shared" si="19"/>
        <v>60978.816000000006</v>
      </c>
      <c r="AA122" s="32"/>
      <c r="AB122" s="32">
        <f t="shared" si="32"/>
        <v>23162.496</v>
      </c>
      <c r="AC122" s="34">
        <f t="shared" si="20"/>
        <v>11032.16</v>
      </c>
      <c r="AD122" s="8"/>
      <c r="AE122" s="8"/>
      <c r="AF122" s="34"/>
      <c r="AG122" s="32">
        <f t="shared" si="21"/>
        <v>55779.07199999999</v>
      </c>
      <c r="AH122" s="32"/>
      <c r="AI122" s="32">
        <f t="shared" si="30"/>
        <v>660475.6120000001</v>
      </c>
    </row>
    <row r="123" spans="1:35" ht="15.75">
      <c r="A123" s="3" t="s">
        <v>86</v>
      </c>
      <c r="B123" s="4" t="s">
        <v>90</v>
      </c>
      <c r="C123" s="3" t="s">
        <v>2</v>
      </c>
      <c r="D123" s="26">
        <v>3515.2</v>
      </c>
      <c r="E123" s="19">
        <f t="shared" si="22"/>
        <v>15185.664</v>
      </c>
      <c r="F123" s="19">
        <f t="shared" si="23"/>
        <v>50197.056</v>
      </c>
      <c r="G123" s="19">
        <f t="shared" si="24"/>
        <v>49775.231999999996</v>
      </c>
      <c r="H123" s="19">
        <f t="shared" si="25"/>
        <v>10967.423999999999</v>
      </c>
      <c r="I123" s="19">
        <f t="shared" si="26"/>
        <v>2530.9439999999995</v>
      </c>
      <c r="J123" s="19">
        <f t="shared" si="27"/>
        <v>7592.832</v>
      </c>
      <c r="K123" s="19">
        <f>80*6*2</f>
        <v>960</v>
      </c>
      <c r="L123" s="8">
        <f>144.73*90</f>
        <v>13025.699999999999</v>
      </c>
      <c r="M123" s="8"/>
      <c r="N123" s="8"/>
      <c r="O123" s="24">
        <f t="shared" si="17"/>
        <v>9666.800000000001</v>
      </c>
      <c r="P123" s="32">
        <f t="shared" si="28"/>
        <v>159901.652</v>
      </c>
      <c r="Q123" s="32">
        <f t="shared" si="34"/>
        <v>55294.096000000005</v>
      </c>
      <c r="R123" s="34">
        <f t="shared" si="18"/>
        <v>129710.87999999998</v>
      </c>
      <c r="S123" s="19"/>
      <c r="T123" s="19"/>
      <c r="U123" s="19"/>
      <c r="V123" s="19"/>
      <c r="W123" s="19"/>
      <c r="X123" s="19">
        <v>136500</v>
      </c>
      <c r="Y123" s="32">
        <f t="shared" si="29"/>
        <v>136500</v>
      </c>
      <c r="Z123" s="32">
        <f t="shared" si="19"/>
        <v>54415.296</v>
      </c>
      <c r="AA123" s="32"/>
      <c r="AB123" s="32">
        <f t="shared" si="32"/>
        <v>20669.375999999997</v>
      </c>
      <c r="AC123" s="34">
        <f t="shared" si="20"/>
        <v>9844.96</v>
      </c>
      <c r="AD123" s="8"/>
      <c r="AE123" s="8"/>
      <c r="AF123" s="34"/>
      <c r="AG123" s="32">
        <f t="shared" si="21"/>
        <v>49775.231999999996</v>
      </c>
      <c r="AH123" s="32"/>
      <c r="AI123" s="32">
        <f t="shared" si="30"/>
        <v>616111.492</v>
      </c>
    </row>
    <row r="124" spans="1:35" ht="15.75">
      <c r="A124" s="3" t="s">
        <v>86</v>
      </c>
      <c r="B124" s="4" t="s">
        <v>44</v>
      </c>
      <c r="C124" s="3" t="s">
        <v>2</v>
      </c>
      <c r="D124" s="26">
        <v>3552.5</v>
      </c>
      <c r="E124" s="19">
        <f t="shared" si="22"/>
        <v>15346.8</v>
      </c>
      <c r="F124" s="19">
        <f t="shared" si="23"/>
        <v>50729.7</v>
      </c>
      <c r="G124" s="19">
        <f t="shared" si="24"/>
        <v>50303.399999999994</v>
      </c>
      <c r="H124" s="19">
        <f t="shared" si="25"/>
        <v>11083.8</v>
      </c>
      <c r="I124" s="19">
        <f t="shared" si="26"/>
        <v>2557.8</v>
      </c>
      <c r="J124" s="19">
        <f t="shared" si="27"/>
        <v>7673.4</v>
      </c>
      <c r="K124" s="19">
        <f>75*6*2</f>
        <v>900</v>
      </c>
      <c r="L124" s="8">
        <f>144.73*89</f>
        <v>12880.97</v>
      </c>
      <c r="M124" s="8"/>
      <c r="N124" s="8"/>
      <c r="O124" s="24">
        <f t="shared" si="17"/>
        <v>9769.375000000002</v>
      </c>
      <c r="P124" s="32">
        <f t="shared" si="28"/>
        <v>161245.245</v>
      </c>
      <c r="Q124" s="32">
        <f t="shared" si="34"/>
        <v>55880.825000000004</v>
      </c>
      <c r="R124" s="34">
        <f t="shared" si="18"/>
        <v>131087.25</v>
      </c>
      <c r="S124" s="19"/>
      <c r="T124" s="19"/>
      <c r="U124" s="19"/>
      <c r="V124" s="19"/>
      <c r="W124" s="19"/>
      <c r="X124" s="19"/>
      <c r="Y124" s="32">
        <f t="shared" si="29"/>
        <v>0</v>
      </c>
      <c r="Z124" s="32">
        <f t="shared" si="19"/>
        <v>54992.700000000004</v>
      </c>
      <c r="AA124" s="32"/>
      <c r="AB124" s="32">
        <f t="shared" si="32"/>
        <v>20888.699999999997</v>
      </c>
      <c r="AC124" s="34">
        <f t="shared" si="20"/>
        <v>9949.4</v>
      </c>
      <c r="AD124" s="8"/>
      <c r="AE124" s="8"/>
      <c r="AF124" s="34"/>
      <c r="AG124" s="32">
        <f t="shared" si="21"/>
        <v>50303.399999999994</v>
      </c>
      <c r="AH124" s="32">
        <v>57500</v>
      </c>
      <c r="AI124" s="32">
        <f t="shared" si="30"/>
        <v>541847.52</v>
      </c>
    </row>
    <row r="125" spans="1:35" ht="15.75">
      <c r="A125" s="3" t="s">
        <v>86</v>
      </c>
      <c r="B125" s="4" t="s">
        <v>3</v>
      </c>
      <c r="C125" s="3" t="s">
        <v>2</v>
      </c>
      <c r="D125" s="27">
        <v>2863.5</v>
      </c>
      <c r="E125" s="19">
        <f t="shared" si="22"/>
        <v>12370.32</v>
      </c>
      <c r="F125" s="19">
        <f t="shared" si="23"/>
        <v>40890.78</v>
      </c>
      <c r="G125" s="19">
        <f t="shared" si="24"/>
        <v>40547.159999999996</v>
      </c>
      <c r="H125" s="19">
        <f t="shared" si="25"/>
        <v>8934.119999999999</v>
      </c>
      <c r="I125" s="19">
        <f t="shared" si="26"/>
        <v>2061.7200000000003</v>
      </c>
      <c r="J125" s="19">
        <f t="shared" si="27"/>
        <v>6185.16</v>
      </c>
      <c r="K125" s="19">
        <f>32*8*4+32*6*2</f>
        <v>1408</v>
      </c>
      <c r="L125" s="8">
        <f>144.73*3</f>
        <v>434.18999999999994</v>
      </c>
      <c r="M125" s="8"/>
      <c r="N125" s="8"/>
      <c r="O125" s="24">
        <f t="shared" si="17"/>
        <v>7874.625000000001</v>
      </c>
      <c r="P125" s="32">
        <f t="shared" si="28"/>
        <v>120706.075</v>
      </c>
      <c r="Q125" s="32">
        <f t="shared" si="34"/>
        <v>45042.854999999996</v>
      </c>
      <c r="R125" s="34">
        <f t="shared" si="18"/>
        <v>105663.15</v>
      </c>
      <c r="S125" s="19"/>
      <c r="T125" s="19"/>
      <c r="U125" s="19"/>
      <c r="V125" s="19"/>
      <c r="W125" s="19">
        <f>2.2*220</f>
        <v>484.00000000000006</v>
      </c>
      <c r="X125" s="19"/>
      <c r="Y125" s="32">
        <f t="shared" si="29"/>
        <v>484.00000000000006</v>
      </c>
      <c r="Z125" s="32">
        <f t="shared" si="19"/>
        <v>44326.979999999996</v>
      </c>
      <c r="AA125" s="32"/>
      <c r="AB125" s="32">
        <f t="shared" si="32"/>
        <v>16837.38</v>
      </c>
      <c r="AC125" s="34">
        <f t="shared" si="20"/>
        <v>8020.200000000001</v>
      </c>
      <c r="AD125" s="8"/>
      <c r="AE125" s="8"/>
      <c r="AF125" s="34"/>
      <c r="AG125" s="32">
        <f t="shared" si="21"/>
        <v>40547.159999999996</v>
      </c>
      <c r="AH125" s="32"/>
      <c r="AI125" s="32">
        <f t="shared" si="30"/>
        <v>381627.79999999993</v>
      </c>
    </row>
    <row r="126" spans="1:35" ht="15.75">
      <c r="A126" s="5" t="s">
        <v>86</v>
      </c>
      <c r="B126" s="5" t="s">
        <v>65</v>
      </c>
      <c r="C126" s="6"/>
      <c r="D126" s="30">
        <v>4333.2</v>
      </c>
      <c r="E126" s="19">
        <f t="shared" si="22"/>
        <v>18719.424</v>
      </c>
      <c r="F126" s="19">
        <f t="shared" si="23"/>
        <v>61878.096</v>
      </c>
      <c r="G126" s="19">
        <f t="shared" si="24"/>
        <v>61358.111999999994</v>
      </c>
      <c r="H126" s="19">
        <f t="shared" si="25"/>
        <v>13519.584</v>
      </c>
      <c r="I126" s="19">
        <f t="shared" si="26"/>
        <v>3119.9039999999995</v>
      </c>
      <c r="J126" s="19">
        <f t="shared" si="27"/>
        <v>9359.712</v>
      </c>
      <c r="K126" s="19">
        <f>42*6*2</f>
        <v>504</v>
      </c>
      <c r="L126" s="8">
        <f>144.73*32</f>
        <v>4631.36</v>
      </c>
      <c r="M126" s="8"/>
      <c r="N126" s="8"/>
      <c r="O126" s="24">
        <f t="shared" si="17"/>
        <v>11916.300000000001</v>
      </c>
      <c r="P126" s="32">
        <f t="shared" si="28"/>
        <v>185006.49199999997</v>
      </c>
      <c r="Q126" s="32">
        <f t="shared" si="34"/>
        <v>68161.236</v>
      </c>
      <c r="R126" s="34">
        <f t="shared" si="18"/>
        <v>159895.08</v>
      </c>
      <c r="S126" s="19"/>
      <c r="T126" s="19"/>
      <c r="U126" s="19"/>
      <c r="V126" s="19"/>
      <c r="W126" s="19"/>
      <c r="X126" s="19"/>
      <c r="Y126" s="32">
        <f t="shared" si="29"/>
        <v>0</v>
      </c>
      <c r="Z126" s="32">
        <f t="shared" si="19"/>
        <v>67077.93599999999</v>
      </c>
      <c r="AA126" s="32"/>
      <c r="AB126" s="32">
        <f t="shared" si="32"/>
        <v>25479.216</v>
      </c>
      <c r="AC126" s="34">
        <f t="shared" si="20"/>
        <v>12135.359999999999</v>
      </c>
      <c r="AD126" s="8"/>
      <c r="AE126" s="8"/>
      <c r="AF126" s="34"/>
      <c r="AG126" s="32">
        <f t="shared" si="21"/>
        <v>61358.111999999994</v>
      </c>
      <c r="AH126" s="32"/>
      <c r="AI126" s="32">
        <f t="shared" si="30"/>
        <v>579113.4319999999</v>
      </c>
    </row>
    <row r="127" spans="1:35" ht="15.75">
      <c r="A127" s="3" t="s">
        <v>86</v>
      </c>
      <c r="B127" s="4" t="s">
        <v>73</v>
      </c>
      <c r="C127" s="3" t="s">
        <v>2</v>
      </c>
      <c r="D127" s="26">
        <v>2718.6</v>
      </c>
      <c r="E127" s="19">
        <f t="shared" si="22"/>
        <v>11744.351999999999</v>
      </c>
      <c r="F127" s="19">
        <f t="shared" si="23"/>
        <v>38821.60799999999</v>
      </c>
      <c r="G127" s="19">
        <f t="shared" si="24"/>
        <v>38495.376</v>
      </c>
      <c r="H127" s="19">
        <f t="shared" si="25"/>
        <v>8482.032</v>
      </c>
      <c r="I127" s="19">
        <f t="shared" si="26"/>
        <v>1957.3919999999998</v>
      </c>
      <c r="J127" s="19">
        <f t="shared" si="27"/>
        <v>5872.1759999999995</v>
      </c>
      <c r="K127" s="19">
        <f>37*8*4+37*6*2</f>
        <v>1628</v>
      </c>
      <c r="L127" s="8">
        <f>144.73*3</f>
        <v>434.18999999999994</v>
      </c>
      <c r="M127" s="8"/>
      <c r="N127" s="8"/>
      <c r="O127" s="24">
        <f t="shared" si="17"/>
        <v>7476.15</v>
      </c>
      <c r="P127" s="32">
        <f t="shared" si="28"/>
        <v>114911.27599999998</v>
      </c>
      <c r="Q127" s="32">
        <f t="shared" si="34"/>
        <v>42763.578</v>
      </c>
      <c r="R127" s="34">
        <f t="shared" si="18"/>
        <v>100316.34</v>
      </c>
      <c r="S127" s="19"/>
      <c r="T127" s="19"/>
      <c r="U127" s="19"/>
      <c r="V127" s="19"/>
      <c r="W127" s="19"/>
      <c r="X127" s="19"/>
      <c r="Y127" s="32">
        <f t="shared" si="29"/>
        <v>0</v>
      </c>
      <c r="Z127" s="32">
        <f t="shared" si="19"/>
        <v>42083.928</v>
      </c>
      <c r="AA127" s="32"/>
      <c r="AB127" s="32">
        <f t="shared" si="32"/>
        <v>15985.368</v>
      </c>
      <c r="AC127" s="34">
        <f t="shared" si="20"/>
        <v>7614.48</v>
      </c>
      <c r="AD127" s="8"/>
      <c r="AE127" s="8"/>
      <c r="AF127" s="34"/>
      <c r="AG127" s="32">
        <f t="shared" si="21"/>
        <v>38495.376</v>
      </c>
      <c r="AH127" s="32"/>
      <c r="AI127" s="32">
        <f t="shared" si="30"/>
        <v>362170.34599999996</v>
      </c>
    </row>
    <row r="128" spans="1:35" ht="15.75">
      <c r="A128" s="3" t="s">
        <v>86</v>
      </c>
      <c r="B128" s="4" t="s">
        <v>92</v>
      </c>
      <c r="C128" s="3" t="s">
        <v>2</v>
      </c>
      <c r="D128" s="26">
        <v>2156.3</v>
      </c>
      <c r="E128" s="19">
        <f t="shared" si="22"/>
        <v>9315.216</v>
      </c>
      <c r="F128" s="19">
        <f t="shared" si="23"/>
        <v>30791.964000000004</v>
      </c>
      <c r="G128" s="19">
        <f t="shared" si="24"/>
        <v>30533.208000000002</v>
      </c>
      <c r="H128" s="19">
        <f t="shared" si="25"/>
        <v>6727.656000000001</v>
      </c>
      <c r="I128" s="19">
        <f t="shared" si="26"/>
        <v>1552.536</v>
      </c>
      <c r="J128" s="19">
        <f t="shared" si="27"/>
        <v>4657.608</v>
      </c>
      <c r="K128" s="19">
        <f>36*8*4+36*6*2</f>
        <v>1584</v>
      </c>
      <c r="L128" s="8">
        <f>144.73*2</f>
        <v>289.46</v>
      </c>
      <c r="M128" s="8"/>
      <c r="N128" s="8"/>
      <c r="O128" s="24">
        <f t="shared" si="17"/>
        <v>5929.825000000001</v>
      </c>
      <c r="P128" s="32">
        <f t="shared" si="28"/>
        <v>91381.47300000003</v>
      </c>
      <c r="Q128" s="32">
        <f t="shared" si="34"/>
        <v>33918.599</v>
      </c>
      <c r="R128" s="34">
        <f t="shared" si="18"/>
        <v>79567.47</v>
      </c>
      <c r="S128" s="19"/>
      <c r="T128" s="19"/>
      <c r="U128" s="19"/>
      <c r="V128" s="19"/>
      <c r="W128" s="19"/>
      <c r="X128" s="19"/>
      <c r="Y128" s="32">
        <f t="shared" si="29"/>
        <v>0</v>
      </c>
      <c r="Z128" s="32">
        <f t="shared" si="19"/>
        <v>33379.524000000005</v>
      </c>
      <c r="AA128" s="32"/>
      <c r="AB128" s="32">
        <f t="shared" si="32"/>
        <v>12679.044</v>
      </c>
      <c r="AC128" s="34">
        <f t="shared" si="20"/>
        <v>6040.04</v>
      </c>
      <c r="AD128" s="8"/>
      <c r="AE128" s="8"/>
      <c r="AF128" s="34"/>
      <c r="AG128" s="32">
        <f t="shared" si="21"/>
        <v>30533.208000000002</v>
      </c>
      <c r="AH128" s="32"/>
      <c r="AI128" s="32">
        <f t="shared" si="30"/>
        <v>287499.358</v>
      </c>
    </row>
    <row r="129" spans="1:35" ht="15.75">
      <c r="A129" s="3" t="s">
        <v>86</v>
      </c>
      <c r="B129" s="4" t="s">
        <v>93</v>
      </c>
      <c r="C129" s="3" t="s">
        <v>2</v>
      </c>
      <c r="D129" s="26">
        <v>3204</v>
      </c>
      <c r="E129" s="19">
        <f t="shared" si="22"/>
        <v>13841.28</v>
      </c>
      <c r="F129" s="19">
        <f t="shared" si="23"/>
        <v>45753.119999999995</v>
      </c>
      <c r="G129" s="19">
        <f t="shared" si="24"/>
        <v>45368.64</v>
      </c>
      <c r="H129" s="19">
        <f t="shared" si="25"/>
        <v>9996.480000000001</v>
      </c>
      <c r="I129" s="19">
        <f t="shared" si="26"/>
        <v>2306.8799999999997</v>
      </c>
      <c r="J129" s="19">
        <f t="shared" si="27"/>
        <v>6920.64</v>
      </c>
      <c r="K129" s="19">
        <f>45*8*4+45*6*2</f>
        <v>1980</v>
      </c>
      <c r="L129" s="8">
        <f aca="true" t="shared" si="35" ref="L129:L134">144.73*3</f>
        <v>434.18999999999994</v>
      </c>
      <c r="M129" s="8"/>
      <c r="N129" s="8"/>
      <c r="O129" s="24">
        <f t="shared" si="17"/>
        <v>8811</v>
      </c>
      <c r="P129" s="32">
        <f t="shared" si="28"/>
        <v>135412.22999999998</v>
      </c>
      <c r="Q129" s="32">
        <f t="shared" si="34"/>
        <v>50398.920000000006</v>
      </c>
      <c r="R129" s="34">
        <f t="shared" si="18"/>
        <v>118227.6</v>
      </c>
      <c r="S129" s="19">
        <f>279.9*700</f>
        <v>195929.99999999997</v>
      </c>
      <c r="T129" s="19"/>
      <c r="U129" s="19">
        <v>94118</v>
      </c>
      <c r="V129" s="19"/>
      <c r="W129" s="19">
        <f>7*220</f>
        <v>1540</v>
      </c>
      <c r="X129" s="19"/>
      <c r="Y129" s="32">
        <f t="shared" si="29"/>
        <v>291588</v>
      </c>
      <c r="Z129" s="32">
        <f t="shared" si="19"/>
        <v>49597.92</v>
      </c>
      <c r="AA129" s="32"/>
      <c r="AB129" s="32">
        <f t="shared" si="32"/>
        <v>18839.52</v>
      </c>
      <c r="AC129" s="34">
        <f t="shared" si="20"/>
        <v>8973.6</v>
      </c>
      <c r="AD129" s="8"/>
      <c r="AE129" s="8"/>
      <c r="AF129" s="34"/>
      <c r="AG129" s="32">
        <f t="shared" si="21"/>
        <v>45368.64</v>
      </c>
      <c r="AH129" s="32"/>
      <c r="AI129" s="32">
        <f t="shared" si="30"/>
        <v>718406.43</v>
      </c>
    </row>
    <row r="130" spans="1:35" ht="15.75">
      <c r="A130" s="3" t="s">
        <v>94</v>
      </c>
      <c r="B130" s="4" t="s">
        <v>71</v>
      </c>
      <c r="C130" s="3" t="s">
        <v>2</v>
      </c>
      <c r="D130" s="29">
        <v>909.3</v>
      </c>
      <c r="E130" s="19">
        <f t="shared" si="22"/>
        <v>3928.1759999999995</v>
      </c>
      <c r="F130" s="19">
        <f t="shared" si="23"/>
        <v>12984.804</v>
      </c>
      <c r="G130" s="19">
        <f t="shared" si="24"/>
        <v>12875.687999999998</v>
      </c>
      <c r="H130" s="19">
        <f t="shared" si="25"/>
        <v>2837.016</v>
      </c>
      <c r="I130" s="19">
        <f t="shared" si="26"/>
        <v>654.6959999999999</v>
      </c>
      <c r="J130" s="19">
        <f t="shared" si="27"/>
        <v>1964.0879999999997</v>
      </c>
      <c r="K130" s="19">
        <f>13*6*2</f>
        <v>156</v>
      </c>
      <c r="L130" s="8">
        <f t="shared" si="35"/>
        <v>434.18999999999994</v>
      </c>
      <c r="M130" s="8"/>
      <c r="N130" s="8"/>
      <c r="O130" s="24">
        <f t="shared" si="17"/>
        <v>2500.575</v>
      </c>
      <c r="P130" s="32">
        <f t="shared" si="28"/>
        <v>38335.23299999999</v>
      </c>
      <c r="Q130" s="32"/>
      <c r="R130" s="34">
        <f t="shared" si="18"/>
        <v>33553.17</v>
      </c>
      <c r="S130" s="19"/>
      <c r="T130" s="19"/>
      <c r="U130" s="19"/>
      <c r="V130" s="19"/>
      <c r="W130" s="19"/>
      <c r="X130" s="19"/>
      <c r="Y130" s="32">
        <f t="shared" si="29"/>
        <v>0</v>
      </c>
      <c r="Z130" s="32">
        <f t="shared" si="19"/>
        <v>14075.964</v>
      </c>
      <c r="AA130" s="32"/>
      <c r="AB130" s="32">
        <f t="shared" si="32"/>
        <v>5346.683999999999</v>
      </c>
      <c r="AC130" s="34">
        <f t="shared" si="20"/>
        <v>2548.44</v>
      </c>
      <c r="AD130" s="8"/>
      <c r="AE130" s="8"/>
      <c r="AF130" s="34"/>
      <c r="AG130" s="32">
        <f t="shared" si="21"/>
        <v>12875.687999999998</v>
      </c>
      <c r="AH130" s="32">
        <v>57500</v>
      </c>
      <c r="AI130" s="32">
        <f t="shared" si="30"/>
        <v>164235.179</v>
      </c>
    </row>
    <row r="131" spans="1:35" ht="15.75">
      <c r="A131" s="3" t="s">
        <v>94</v>
      </c>
      <c r="B131" s="4" t="s">
        <v>44</v>
      </c>
      <c r="C131" s="3" t="s">
        <v>2</v>
      </c>
      <c r="D131" s="26">
        <v>2792.7</v>
      </c>
      <c r="E131" s="19">
        <f t="shared" si="22"/>
        <v>12064.463999999998</v>
      </c>
      <c r="F131" s="19">
        <f t="shared" si="23"/>
        <v>39879.755999999994</v>
      </c>
      <c r="G131" s="19">
        <f t="shared" si="24"/>
        <v>39544.632</v>
      </c>
      <c r="H131" s="19">
        <f t="shared" si="25"/>
        <v>8713.224</v>
      </c>
      <c r="I131" s="19">
        <f t="shared" si="26"/>
        <v>2010.7439999999997</v>
      </c>
      <c r="J131" s="19">
        <f t="shared" si="27"/>
        <v>6032.231999999999</v>
      </c>
      <c r="K131" s="19">
        <f>56*8*4+56*6*2</f>
        <v>2464</v>
      </c>
      <c r="L131" s="8">
        <f t="shared" si="35"/>
        <v>434.18999999999994</v>
      </c>
      <c r="M131" s="8"/>
      <c r="N131" s="8"/>
      <c r="O131" s="24">
        <f aca="true" t="shared" si="36" ref="O131:O194">D131*0.55*5</f>
        <v>7679.925000000001</v>
      </c>
      <c r="P131" s="32">
        <f t="shared" si="28"/>
        <v>118823.167</v>
      </c>
      <c r="Q131" s="32">
        <f>D131*1.27*5+D131*1.34*7</f>
        <v>43929.171</v>
      </c>
      <c r="R131" s="34">
        <f aca="true" t="shared" si="37" ref="R131:R194">D131*3.18*5+D131*3*7</f>
        <v>103050.62999999999</v>
      </c>
      <c r="S131" s="19"/>
      <c r="T131" s="19"/>
      <c r="U131" s="19"/>
      <c r="V131" s="19"/>
      <c r="W131" s="19"/>
      <c r="X131" s="19"/>
      <c r="Y131" s="32">
        <f t="shared" si="29"/>
        <v>0</v>
      </c>
      <c r="Z131" s="32">
        <f aca="true" t="shared" si="38" ref="Z131:Z194">D131*1.29*12</f>
        <v>43230.996</v>
      </c>
      <c r="AA131" s="32"/>
      <c r="AB131" s="32">
        <f t="shared" si="32"/>
        <v>16421.075999999997</v>
      </c>
      <c r="AC131" s="34">
        <f aca="true" t="shared" si="39" ref="AC131:AC194">D131*0.4*7+0.48*5</f>
        <v>7821.959999999999</v>
      </c>
      <c r="AD131" s="8"/>
      <c r="AE131" s="8"/>
      <c r="AF131" s="34"/>
      <c r="AG131" s="32">
        <f aca="true" t="shared" si="40" ref="AG131:AG194">D131*1.18*12</f>
        <v>39544.632</v>
      </c>
      <c r="AH131" s="32">
        <v>57500</v>
      </c>
      <c r="AI131" s="32">
        <f t="shared" si="30"/>
        <v>430321.632</v>
      </c>
    </row>
    <row r="132" spans="1:35" ht="15.75">
      <c r="A132" s="3" t="s">
        <v>94</v>
      </c>
      <c r="B132" s="4" t="s">
        <v>95</v>
      </c>
      <c r="C132" s="3" t="s">
        <v>2</v>
      </c>
      <c r="D132" s="26">
        <v>3245.1</v>
      </c>
      <c r="E132" s="19">
        <f aca="true" t="shared" si="41" ref="E132:E195">D132*0.36*12</f>
        <v>14018.831999999999</v>
      </c>
      <c r="F132" s="19">
        <f aca="true" t="shared" si="42" ref="F132:F195">D132*1.19*12</f>
        <v>46340.028</v>
      </c>
      <c r="G132" s="19">
        <f aca="true" t="shared" si="43" ref="G132:G195">D132*1.18*12</f>
        <v>45950.615999999995</v>
      </c>
      <c r="H132" s="19">
        <f aca="true" t="shared" si="44" ref="H132:H195">D132*0.26*12</f>
        <v>10124.712</v>
      </c>
      <c r="I132" s="19">
        <f aca="true" t="shared" si="45" ref="I132:I195">D132*0.06*12</f>
        <v>2336.4719999999998</v>
      </c>
      <c r="J132" s="19">
        <f aca="true" t="shared" si="46" ref="J132:J195">D132*0.18*12</f>
        <v>7009.415999999999</v>
      </c>
      <c r="K132" s="19">
        <f>80*8*4+80*6*2</f>
        <v>3520</v>
      </c>
      <c r="L132" s="8">
        <f t="shared" si="35"/>
        <v>434.18999999999994</v>
      </c>
      <c r="M132" s="8"/>
      <c r="N132" s="8"/>
      <c r="O132" s="24">
        <f t="shared" si="36"/>
        <v>8924.025</v>
      </c>
      <c r="P132" s="32">
        <f aca="true" t="shared" si="47" ref="P132:P195">SUM(E132:O132)</f>
        <v>138658.291</v>
      </c>
      <c r="Q132" s="32">
        <f>D132*1.27*5+D132*1.34*7</f>
        <v>51045.423</v>
      </c>
      <c r="R132" s="34">
        <f t="shared" si="37"/>
        <v>119744.18999999999</v>
      </c>
      <c r="S132" s="19"/>
      <c r="T132" s="19"/>
      <c r="U132" s="19"/>
      <c r="V132" s="19"/>
      <c r="W132" s="19"/>
      <c r="X132" s="19"/>
      <c r="Y132" s="32">
        <f aca="true" t="shared" si="48" ref="Y132:Y195">SUM(S132:X132)</f>
        <v>0</v>
      </c>
      <c r="Z132" s="32">
        <f t="shared" si="38"/>
        <v>50234.148</v>
      </c>
      <c r="AA132" s="32"/>
      <c r="AB132" s="32">
        <f t="shared" si="32"/>
        <v>19081.188</v>
      </c>
      <c r="AC132" s="34">
        <f t="shared" si="39"/>
        <v>9088.679999999998</v>
      </c>
      <c r="AD132" s="8"/>
      <c r="AE132" s="8"/>
      <c r="AF132" s="34"/>
      <c r="AG132" s="32">
        <f t="shared" si="40"/>
        <v>45950.615999999995</v>
      </c>
      <c r="AH132" s="32">
        <v>57500</v>
      </c>
      <c r="AI132" s="32">
        <f aca="true" t="shared" si="49" ref="AI132:AI195">P132+Q132+R132+Y132+Z132+AA132+AB132+AC132+AF132+AG132+AH132</f>
        <v>491302.53599999996</v>
      </c>
    </row>
    <row r="133" spans="1:35" ht="15.75">
      <c r="A133" s="3" t="s">
        <v>94</v>
      </c>
      <c r="B133" s="4" t="s">
        <v>96</v>
      </c>
      <c r="C133" s="3" t="s">
        <v>2</v>
      </c>
      <c r="D133" s="26">
        <v>1555.8</v>
      </c>
      <c r="E133" s="19">
        <f t="shared" si="41"/>
        <v>6721.056</v>
      </c>
      <c r="F133" s="19">
        <f t="shared" si="42"/>
        <v>22216.823999999997</v>
      </c>
      <c r="G133" s="19">
        <f t="shared" si="43"/>
        <v>22030.127999999997</v>
      </c>
      <c r="H133" s="19">
        <f t="shared" si="44"/>
        <v>4854.096</v>
      </c>
      <c r="I133" s="19">
        <f t="shared" si="45"/>
        <v>1120.176</v>
      </c>
      <c r="J133" s="19">
        <f t="shared" si="46"/>
        <v>3360.528</v>
      </c>
      <c r="K133" s="19">
        <f>39*8*4+39*6*2</f>
        <v>1716</v>
      </c>
      <c r="L133" s="8">
        <f t="shared" si="35"/>
        <v>434.18999999999994</v>
      </c>
      <c r="M133" s="8"/>
      <c r="N133" s="8"/>
      <c r="O133" s="24">
        <f t="shared" si="36"/>
        <v>4278.450000000001</v>
      </c>
      <c r="P133" s="32">
        <f t="shared" si="47"/>
        <v>66731.44799999999</v>
      </c>
      <c r="Q133" s="32">
        <f>D133*1.27*5+D133*1.34*7</f>
        <v>24472.733999999997</v>
      </c>
      <c r="R133" s="34">
        <f t="shared" si="37"/>
        <v>57409.02</v>
      </c>
      <c r="S133" s="19"/>
      <c r="T133" s="19"/>
      <c r="U133" s="19"/>
      <c r="V133" s="19"/>
      <c r="W133" s="19"/>
      <c r="X133" s="19"/>
      <c r="Y133" s="32">
        <f t="shared" si="48"/>
        <v>0</v>
      </c>
      <c r="Z133" s="32">
        <f t="shared" si="38"/>
        <v>24083.784</v>
      </c>
      <c r="AA133" s="32"/>
      <c r="AB133" s="32">
        <f t="shared" si="32"/>
        <v>9148.104</v>
      </c>
      <c r="AC133" s="34">
        <f t="shared" si="39"/>
        <v>4358.64</v>
      </c>
      <c r="AD133" s="8"/>
      <c r="AE133" s="8"/>
      <c r="AF133" s="34"/>
      <c r="AG133" s="32">
        <f t="shared" si="40"/>
        <v>22030.127999999997</v>
      </c>
      <c r="AH133" s="32">
        <v>57500</v>
      </c>
      <c r="AI133" s="32">
        <f t="shared" si="49"/>
        <v>265733.858</v>
      </c>
    </row>
    <row r="134" spans="1:35" ht="15.75">
      <c r="A134" s="3" t="s">
        <v>94</v>
      </c>
      <c r="B134" s="4" t="s">
        <v>73</v>
      </c>
      <c r="C134" s="3" t="s">
        <v>2</v>
      </c>
      <c r="D134" s="26">
        <v>1304.4</v>
      </c>
      <c r="E134" s="19">
        <f t="shared" si="41"/>
        <v>5635.008</v>
      </c>
      <c r="F134" s="19">
        <f t="shared" si="42"/>
        <v>18626.832000000002</v>
      </c>
      <c r="G134" s="19">
        <f t="shared" si="43"/>
        <v>18470.304</v>
      </c>
      <c r="H134" s="19">
        <f t="shared" si="44"/>
        <v>4069.728000000001</v>
      </c>
      <c r="I134" s="19">
        <f t="shared" si="45"/>
        <v>939.1679999999999</v>
      </c>
      <c r="J134" s="19">
        <f t="shared" si="46"/>
        <v>2817.504</v>
      </c>
      <c r="K134" s="19">
        <f>27*8*4+27*6*2</f>
        <v>1188</v>
      </c>
      <c r="L134" s="8">
        <f t="shared" si="35"/>
        <v>434.18999999999994</v>
      </c>
      <c r="M134" s="8"/>
      <c r="N134" s="8">
        <f>875*20.77</f>
        <v>18173.75</v>
      </c>
      <c r="O134" s="24">
        <f t="shared" si="36"/>
        <v>3587.1000000000004</v>
      </c>
      <c r="P134" s="32">
        <f t="shared" si="47"/>
        <v>73941.584</v>
      </c>
      <c r="Q134" s="32"/>
      <c r="R134" s="34">
        <f t="shared" si="37"/>
        <v>48132.36</v>
      </c>
      <c r="S134" s="19"/>
      <c r="T134" s="19"/>
      <c r="U134" s="19"/>
      <c r="V134" s="19"/>
      <c r="W134" s="19">
        <f>4.4*220</f>
        <v>968.0000000000001</v>
      </c>
      <c r="X134" s="19"/>
      <c r="Y134" s="32">
        <f t="shared" si="48"/>
        <v>968.0000000000001</v>
      </c>
      <c r="Z134" s="32">
        <f t="shared" si="38"/>
        <v>20192.112</v>
      </c>
      <c r="AA134" s="32"/>
      <c r="AB134" s="32">
        <f t="shared" si="32"/>
        <v>7669.872000000001</v>
      </c>
      <c r="AC134" s="34">
        <f t="shared" si="39"/>
        <v>3654.7200000000007</v>
      </c>
      <c r="AD134" s="8"/>
      <c r="AE134" s="8"/>
      <c r="AF134" s="34"/>
      <c r="AG134" s="32">
        <f t="shared" si="40"/>
        <v>18470.304</v>
      </c>
      <c r="AH134" s="32">
        <v>57500</v>
      </c>
      <c r="AI134" s="32">
        <f t="shared" si="49"/>
        <v>230528.95200000002</v>
      </c>
    </row>
    <row r="135" spans="1:35" ht="15.75">
      <c r="A135" s="5" t="s">
        <v>97</v>
      </c>
      <c r="B135" s="5" t="s">
        <v>80</v>
      </c>
      <c r="C135" s="6"/>
      <c r="D135" s="29">
        <v>152.68</v>
      </c>
      <c r="E135" s="19">
        <f t="shared" si="41"/>
        <v>659.5776000000001</v>
      </c>
      <c r="F135" s="19">
        <f t="shared" si="42"/>
        <v>2180.2704</v>
      </c>
      <c r="G135" s="19">
        <f t="shared" si="43"/>
        <v>2161.9488</v>
      </c>
      <c r="H135" s="19">
        <f t="shared" si="44"/>
        <v>476.36160000000007</v>
      </c>
      <c r="I135" s="19">
        <f t="shared" si="45"/>
        <v>109.9296</v>
      </c>
      <c r="J135" s="19">
        <f t="shared" si="46"/>
        <v>329.78880000000004</v>
      </c>
      <c r="K135" s="19">
        <f>2*230</f>
        <v>460</v>
      </c>
      <c r="L135" s="8"/>
      <c r="M135" s="8"/>
      <c r="N135" s="8"/>
      <c r="O135" s="24">
        <f t="shared" si="36"/>
        <v>419.87</v>
      </c>
      <c r="P135" s="32">
        <f t="shared" si="47"/>
        <v>6797.746800000001</v>
      </c>
      <c r="Q135" s="32"/>
      <c r="R135" s="34">
        <f t="shared" si="37"/>
        <v>5633.892</v>
      </c>
      <c r="S135" s="19"/>
      <c r="T135" s="19"/>
      <c r="U135" s="19"/>
      <c r="V135" s="19"/>
      <c r="W135" s="19"/>
      <c r="X135" s="19"/>
      <c r="Y135" s="32">
        <f t="shared" si="48"/>
        <v>0</v>
      </c>
      <c r="Z135" s="32">
        <f t="shared" si="38"/>
        <v>2363.4864</v>
      </c>
      <c r="AA135" s="32"/>
      <c r="AB135" s="32">
        <f t="shared" si="32"/>
        <v>897.7584000000002</v>
      </c>
      <c r="AC135" s="34">
        <f t="shared" si="39"/>
        <v>429.904</v>
      </c>
      <c r="AD135" s="8"/>
      <c r="AE135" s="8"/>
      <c r="AF135" s="34"/>
      <c r="AG135" s="32">
        <f t="shared" si="40"/>
        <v>2161.9488</v>
      </c>
      <c r="AH135" s="32"/>
      <c r="AI135" s="32">
        <f t="shared" si="49"/>
        <v>18284.7364</v>
      </c>
    </row>
    <row r="136" spans="1:35" ht="15.75">
      <c r="A136" s="5" t="s">
        <v>98</v>
      </c>
      <c r="B136" s="5" t="s">
        <v>39</v>
      </c>
      <c r="C136" s="6"/>
      <c r="D136" s="29">
        <v>255.2</v>
      </c>
      <c r="E136" s="19">
        <f t="shared" si="41"/>
        <v>1102.464</v>
      </c>
      <c r="F136" s="19">
        <f t="shared" si="42"/>
        <v>3644.256</v>
      </c>
      <c r="G136" s="19">
        <f t="shared" si="43"/>
        <v>3613.6319999999996</v>
      </c>
      <c r="H136" s="19">
        <f t="shared" si="44"/>
        <v>796.224</v>
      </c>
      <c r="I136" s="19">
        <f t="shared" si="45"/>
        <v>183.744</v>
      </c>
      <c r="J136" s="19">
        <f t="shared" si="46"/>
        <v>551.232</v>
      </c>
      <c r="K136" s="19">
        <f>4*230</f>
        <v>920</v>
      </c>
      <c r="L136" s="8"/>
      <c r="M136" s="8"/>
      <c r="N136" s="8"/>
      <c r="O136" s="24">
        <f t="shared" si="36"/>
        <v>701.8000000000001</v>
      </c>
      <c r="P136" s="32">
        <f t="shared" si="47"/>
        <v>11513.351999999999</v>
      </c>
      <c r="Q136" s="32"/>
      <c r="R136" s="34">
        <f t="shared" si="37"/>
        <v>9416.88</v>
      </c>
      <c r="S136" s="19"/>
      <c r="T136" s="19"/>
      <c r="U136" s="19"/>
      <c r="V136" s="19"/>
      <c r="W136" s="19"/>
      <c r="X136" s="19"/>
      <c r="Y136" s="32">
        <f t="shared" si="48"/>
        <v>0</v>
      </c>
      <c r="Z136" s="32">
        <f t="shared" si="38"/>
        <v>3950.4959999999996</v>
      </c>
      <c r="AA136" s="32"/>
      <c r="AB136" s="32">
        <f t="shared" si="32"/>
        <v>1500.5759999999998</v>
      </c>
      <c r="AC136" s="34">
        <f t="shared" si="39"/>
        <v>716.9599999999999</v>
      </c>
      <c r="AD136" s="8"/>
      <c r="AE136" s="8"/>
      <c r="AF136" s="34"/>
      <c r="AG136" s="32">
        <f t="shared" si="40"/>
        <v>3613.6319999999996</v>
      </c>
      <c r="AH136" s="32"/>
      <c r="AI136" s="32">
        <f t="shared" si="49"/>
        <v>30711.895999999993</v>
      </c>
    </row>
    <row r="137" spans="1:35" ht="15.75">
      <c r="A137" s="3" t="s">
        <v>99</v>
      </c>
      <c r="B137" s="4" t="s">
        <v>3</v>
      </c>
      <c r="C137" s="3" t="s">
        <v>2</v>
      </c>
      <c r="D137" s="29">
        <v>411.6</v>
      </c>
      <c r="E137" s="19">
        <f t="shared" si="41"/>
        <v>1778.112</v>
      </c>
      <c r="F137" s="19">
        <f t="shared" si="42"/>
        <v>5877.648</v>
      </c>
      <c r="G137" s="19">
        <f t="shared" si="43"/>
        <v>5828.255999999999</v>
      </c>
      <c r="H137" s="19">
        <f t="shared" si="44"/>
        <v>1284.192</v>
      </c>
      <c r="I137" s="19">
        <f t="shared" si="45"/>
        <v>296.35200000000003</v>
      </c>
      <c r="J137" s="19">
        <f t="shared" si="46"/>
        <v>889.056</v>
      </c>
      <c r="K137" s="19">
        <f>2*230</f>
        <v>460</v>
      </c>
      <c r="L137" s="8"/>
      <c r="M137" s="8"/>
      <c r="N137" s="8"/>
      <c r="O137" s="24">
        <f t="shared" si="36"/>
        <v>1131.9</v>
      </c>
      <c r="P137" s="32">
        <f t="shared" si="47"/>
        <v>17545.516000000003</v>
      </c>
      <c r="Q137" s="32"/>
      <c r="R137" s="34">
        <f t="shared" si="37"/>
        <v>15188.040000000003</v>
      </c>
      <c r="S137" s="19"/>
      <c r="T137" s="19"/>
      <c r="U137" s="19"/>
      <c r="V137" s="19"/>
      <c r="W137" s="19"/>
      <c r="X137" s="19"/>
      <c r="Y137" s="32">
        <f t="shared" si="48"/>
        <v>0</v>
      </c>
      <c r="Z137" s="32">
        <f t="shared" si="38"/>
        <v>6371.568000000001</v>
      </c>
      <c r="AA137" s="32"/>
      <c r="AB137" s="32">
        <f t="shared" si="32"/>
        <v>2420.208</v>
      </c>
      <c r="AC137" s="34">
        <f t="shared" si="39"/>
        <v>1154.88</v>
      </c>
      <c r="AD137" s="8"/>
      <c r="AE137" s="8"/>
      <c r="AF137" s="34"/>
      <c r="AG137" s="32">
        <f t="shared" si="40"/>
        <v>5828.255999999999</v>
      </c>
      <c r="AH137" s="32"/>
      <c r="AI137" s="32">
        <f t="shared" si="49"/>
        <v>48508.468</v>
      </c>
    </row>
    <row r="138" spans="1:35" ht="15.75">
      <c r="A138" s="3" t="s">
        <v>100</v>
      </c>
      <c r="B138" s="4" t="s">
        <v>34</v>
      </c>
      <c r="C138" s="3" t="s">
        <v>2</v>
      </c>
      <c r="D138" s="26">
        <v>404.8</v>
      </c>
      <c r="E138" s="19">
        <f t="shared" si="41"/>
        <v>1748.736</v>
      </c>
      <c r="F138" s="19">
        <f t="shared" si="42"/>
        <v>5780.544</v>
      </c>
      <c r="G138" s="19">
        <f t="shared" si="43"/>
        <v>5731.968</v>
      </c>
      <c r="H138" s="19">
        <f t="shared" si="44"/>
        <v>1262.976</v>
      </c>
      <c r="I138" s="19">
        <f t="shared" si="45"/>
        <v>291.456</v>
      </c>
      <c r="J138" s="19">
        <f t="shared" si="46"/>
        <v>874.368</v>
      </c>
      <c r="K138" s="19">
        <f>8*8*4+8*6*2</f>
        <v>352</v>
      </c>
      <c r="L138" s="8">
        <f>144.73*2</f>
        <v>289.46</v>
      </c>
      <c r="M138" s="8"/>
      <c r="N138" s="8"/>
      <c r="O138" s="24">
        <f t="shared" si="36"/>
        <v>1113.2</v>
      </c>
      <c r="P138" s="32">
        <f t="shared" si="47"/>
        <v>17444.708</v>
      </c>
      <c r="Q138" s="32"/>
      <c r="R138" s="34">
        <f t="shared" si="37"/>
        <v>14937.120000000003</v>
      </c>
      <c r="S138" s="19"/>
      <c r="T138" s="19"/>
      <c r="U138" s="19"/>
      <c r="V138" s="19"/>
      <c r="W138" s="19"/>
      <c r="X138" s="19"/>
      <c r="Y138" s="32">
        <f t="shared" si="48"/>
        <v>0</v>
      </c>
      <c r="Z138" s="32">
        <f t="shared" si="38"/>
        <v>6266.304</v>
      </c>
      <c r="AA138" s="32"/>
      <c r="AB138" s="32">
        <f t="shared" si="32"/>
        <v>2380.224</v>
      </c>
      <c r="AC138" s="34">
        <f t="shared" si="39"/>
        <v>1135.8400000000001</v>
      </c>
      <c r="AD138" s="8"/>
      <c r="AE138" s="8"/>
      <c r="AF138" s="34"/>
      <c r="AG138" s="32">
        <f t="shared" si="40"/>
        <v>5731.968</v>
      </c>
      <c r="AH138" s="32">
        <v>57500</v>
      </c>
      <c r="AI138" s="32">
        <f t="shared" si="49"/>
        <v>105396.16399999999</v>
      </c>
    </row>
    <row r="139" spans="1:35" ht="15.75">
      <c r="A139" s="3" t="s">
        <v>100</v>
      </c>
      <c r="B139" s="4" t="s">
        <v>101</v>
      </c>
      <c r="C139" s="3" t="s">
        <v>2</v>
      </c>
      <c r="D139" s="26">
        <v>396.4</v>
      </c>
      <c r="E139" s="19">
        <f t="shared" si="41"/>
        <v>1712.4479999999999</v>
      </c>
      <c r="F139" s="19">
        <f t="shared" si="42"/>
        <v>5660.592</v>
      </c>
      <c r="G139" s="19">
        <f t="shared" si="43"/>
        <v>5613.023999999999</v>
      </c>
      <c r="H139" s="19">
        <f t="shared" si="44"/>
        <v>1236.768</v>
      </c>
      <c r="I139" s="19">
        <f t="shared" si="45"/>
        <v>285.408</v>
      </c>
      <c r="J139" s="19">
        <f t="shared" si="46"/>
        <v>856.2239999999999</v>
      </c>
      <c r="K139" s="19">
        <f>8*8*4+8*6*2</f>
        <v>352</v>
      </c>
      <c r="L139" s="8">
        <f>144.73*3</f>
        <v>434.18999999999994</v>
      </c>
      <c r="M139" s="8"/>
      <c r="N139" s="8"/>
      <c r="O139" s="24">
        <f t="shared" si="36"/>
        <v>1090.1000000000001</v>
      </c>
      <c r="P139" s="32">
        <f t="shared" si="47"/>
        <v>17240.753999999997</v>
      </c>
      <c r="Q139" s="32"/>
      <c r="R139" s="34">
        <f t="shared" si="37"/>
        <v>14627.159999999996</v>
      </c>
      <c r="S139" s="19"/>
      <c r="T139" s="19"/>
      <c r="U139" s="19"/>
      <c r="V139" s="19"/>
      <c r="W139" s="19"/>
      <c r="X139" s="19"/>
      <c r="Y139" s="32">
        <f t="shared" si="48"/>
        <v>0</v>
      </c>
      <c r="Z139" s="32">
        <f t="shared" si="38"/>
        <v>6136.272</v>
      </c>
      <c r="AA139" s="32"/>
      <c r="AB139" s="32">
        <f t="shared" si="32"/>
        <v>2330.832</v>
      </c>
      <c r="AC139" s="34">
        <f t="shared" si="39"/>
        <v>1112.3200000000002</v>
      </c>
      <c r="AD139" s="8"/>
      <c r="AE139" s="8"/>
      <c r="AF139" s="34"/>
      <c r="AG139" s="32">
        <f t="shared" si="40"/>
        <v>5613.023999999999</v>
      </c>
      <c r="AH139" s="32">
        <v>57500</v>
      </c>
      <c r="AI139" s="32">
        <f t="shared" si="49"/>
        <v>104560.362</v>
      </c>
    </row>
    <row r="140" spans="1:35" ht="15.75">
      <c r="A140" s="3" t="s">
        <v>100</v>
      </c>
      <c r="B140" s="4" t="s">
        <v>70</v>
      </c>
      <c r="C140" s="3" t="s">
        <v>2</v>
      </c>
      <c r="D140" s="26">
        <v>386.8</v>
      </c>
      <c r="E140" s="19">
        <f t="shared" si="41"/>
        <v>1670.9759999999999</v>
      </c>
      <c r="F140" s="19">
        <f t="shared" si="42"/>
        <v>5523.504</v>
      </c>
      <c r="G140" s="19">
        <f t="shared" si="43"/>
        <v>5477.088</v>
      </c>
      <c r="H140" s="19">
        <f t="shared" si="44"/>
        <v>1206.8160000000003</v>
      </c>
      <c r="I140" s="19">
        <f t="shared" si="45"/>
        <v>278.496</v>
      </c>
      <c r="J140" s="19">
        <f t="shared" si="46"/>
        <v>835.4879999999999</v>
      </c>
      <c r="K140" s="19">
        <f>8*8*4+8*6*2</f>
        <v>352</v>
      </c>
      <c r="L140" s="8">
        <f>144.73*14</f>
        <v>2026.2199999999998</v>
      </c>
      <c r="M140" s="8"/>
      <c r="N140" s="8"/>
      <c r="O140" s="24">
        <f t="shared" si="36"/>
        <v>1063.7000000000003</v>
      </c>
      <c r="P140" s="32">
        <f t="shared" si="47"/>
        <v>18434.288</v>
      </c>
      <c r="Q140" s="32"/>
      <c r="R140" s="34">
        <f t="shared" si="37"/>
        <v>14272.920000000002</v>
      </c>
      <c r="S140" s="19"/>
      <c r="T140" s="19"/>
      <c r="U140" s="19"/>
      <c r="V140" s="19">
        <f>18*150</f>
        <v>2700</v>
      </c>
      <c r="W140" s="19"/>
      <c r="X140" s="19"/>
      <c r="Y140" s="32">
        <f t="shared" si="48"/>
        <v>2700</v>
      </c>
      <c r="Z140" s="32">
        <f t="shared" si="38"/>
        <v>5987.664000000001</v>
      </c>
      <c r="AA140" s="32"/>
      <c r="AB140" s="32">
        <f t="shared" si="32"/>
        <v>2274.384</v>
      </c>
      <c r="AC140" s="34">
        <f t="shared" si="39"/>
        <v>1085.4400000000003</v>
      </c>
      <c r="AD140" s="8"/>
      <c r="AE140" s="8"/>
      <c r="AF140" s="34"/>
      <c r="AG140" s="32">
        <f t="shared" si="40"/>
        <v>5477.088</v>
      </c>
      <c r="AH140" s="32">
        <v>57500</v>
      </c>
      <c r="AI140" s="32">
        <f t="shared" si="49"/>
        <v>107731.784</v>
      </c>
    </row>
    <row r="141" spans="1:35" ht="15.75">
      <c r="A141" s="3" t="s">
        <v>100</v>
      </c>
      <c r="B141" s="4" t="s">
        <v>64</v>
      </c>
      <c r="C141" s="3" t="s">
        <v>2</v>
      </c>
      <c r="D141" s="26">
        <v>383.5</v>
      </c>
      <c r="E141" s="19">
        <f t="shared" si="41"/>
        <v>1656.72</v>
      </c>
      <c r="F141" s="19">
        <f t="shared" si="42"/>
        <v>5476.379999999999</v>
      </c>
      <c r="G141" s="19">
        <f t="shared" si="43"/>
        <v>5430.36</v>
      </c>
      <c r="H141" s="19">
        <f t="shared" si="44"/>
        <v>1196.52</v>
      </c>
      <c r="I141" s="19">
        <f t="shared" si="45"/>
        <v>276.12</v>
      </c>
      <c r="J141" s="19">
        <f t="shared" si="46"/>
        <v>828.36</v>
      </c>
      <c r="K141" s="19">
        <f>8*8*4+8*6*2</f>
        <v>352</v>
      </c>
      <c r="L141" s="8">
        <f>144.73*14</f>
        <v>2026.2199999999998</v>
      </c>
      <c r="M141" s="8"/>
      <c r="N141" s="8">
        <f>358*20.77</f>
        <v>7435.66</v>
      </c>
      <c r="O141" s="24">
        <f t="shared" si="36"/>
        <v>1054.625</v>
      </c>
      <c r="P141" s="32">
        <f t="shared" si="47"/>
        <v>25732.965</v>
      </c>
      <c r="Q141" s="32"/>
      <c r="R141" s="34">
        <f t="shared" si="37"/>
        <v>14151.15</v>
      </c>
      <c r="S141" s="19"/>
      <c r="T141" s="19"/>
      <c r="U141" s="19"/>
      <c r="V141" s="19">
        <f>12*150</f>
        <v>1800</v>
      </c>
      <c r="W141" s="19"/>
      <c r="X141" s="19"/>
      <c r="Y141" s="32">
        <f t="shared" si="48"/>
        <v>1800</v>
      </c>
      <c r="Z141" s="32">
        <f t="shared" si="38"/>
        <v>5936.58</v>
      </c>
      <c r="AA141" s="32"/>
      <c r="AB141" s="32">
        <f t="shared" si="32"/>
        <v>2254.98</v>
      </c>
      <c r="AC141" s="34">
        <f t="shared" si="39"/>
        <v>1076.2</v>
      </c>
      <c r="AD141" s="8"/>
      <c r="AE141" s="8"/>
      <c r="AF141" s="34"/>
      <c r="AG141" s="32">
        <f t="shared" si="40"/>
        <v>5430.36</v>
      </c>
      <c r="AH141" s="32">
        <v>57500</v>
      </c>
      <c r="AI141" s="32">
        <f t="shared" si="49"/>
        <v>113882.235</v>
      </c>
    </row>
    <row r="142" spans="1:35" ht="15.75">
      <c r="A142" s="3" t="s">
        <v>100</v>
      </c>
      <c r="B142" s="4" t="s">
        <v>71</v>
      </c>
      <c r="C142" s="3" t="s">
        <v>2</v>
      </c>
      <c r="D142" s="26">
        <v>3209.3</v>
      </c>
      <c r="E142" s="19">
        <f t="shared" si="41"/>
        <v>13864.176</v>
      </c>
      <c r="F142" s="19">
        <f t="shared" si="42"/>
        <v>45828.804000000004</v>
      </c>
      <c r="G142" s="19">
        <f t="shared" si="43"/>
        <v>45443.688</v>
      </c>
      <c r="H142" s="19">
        <f t="shared" si="44"/>
        <v>10013.016000000001</v>
      </c>
      <c r="I142" s="19">
        <f t="shared" si="45"/>
        <v>2310.696</v>
      </c>
      <c r="J142" s="19">
        <f t="shared" si="46"/>
        <v>6932.088</v>
      </c>
      <c r="K142" s="19">
        <f>80*8*4+80*6*2</f>
        <v>3520</v>
      </c>
      <c r="L142" s="8">
        <f>144.73*2</f>
        <v>289.46</v>
      </c>
      <c r="M142" s="8"/>
      <c r="N142" s="8"/>
      <c r="O142" s="24">
        <f t="shared" si="36"/>
        <v>8825.575</v>
      </c>
      <c r="P142" s="32">
        <f t="shared" si="47"/>
        <v>137027.50300000003</v>
      </c>
      <c r="Q142" s="32">
        <f>D142*1.27*5+D142*1.34*7</f>
        <v>50482.289000000004</v>
      </c>
      <c r="R142" s="34">
        <f t="shared" si="37"/>
        <v>118423.17000000001</v>
      </c>
      <c r="S142" s="19"/>
      <c r="T142" s="19"/>
      <c r="U142" s="19"/>
      <c r="V142" s="19"/>
      <c r="W142" s="19"/>
      <c r="X142" s="19"/>
      <c r="Y142" s="32">
        <f t="shared" si="48"/>
        <v>0</v>
      </c>
      <c r="Z142" s="32">
        <f t="shared" si="38"/>
        <v>49679.96400000001</v>
      </c>
      <c r="AA142" s="32"/>
      <c r="AB142" s="32">
        <f t="shared" si="32"/>
        <v>18870.684</v>
      </c>
      <c r="AC142" s="34">
        <f t="shared" si="39"/>
        <v>8988.44</v>
      </c>
      <c r="AD142" s="8"/>
      <c r="AE142" s="8"/>
      <c r="AF142" s="34"/>
      <c r="AG142" s="32">
        <f t="shared" si="40"/>
        <v>45443.688</v>
      </c>
      <c r="AH142" s="32">
        <v>57500</v>
      </c>
      <c r="AI142" s="32">
        <f t="shared" si="49"/>
        <v>486415.7380000001</v>
      </c>
    </row>
    <row r="143" spans="1:35" ht="15.75">
      <c r="A143" s="3" t="s">
        <v>102</v>
      </c>
      <c r="B143" s="4" t="s">
        <v>103</v>
      </c>
      <c r="C143" s="3" t="s">
        <v>2</v>
      </c>
      <c r="D143" s="26">
        <v>1317.6</v>
      </c>
      <c r="E143" s="19">
        <f t="shared" si="41"/>
        <v>5692.031999999999</v>
      </c>
      <c r="F143" s="19">
        <f t="shared" si="42"/>
        <v>18815.327999999998</v>
      </c>
      <c r="G143" s="19">
        <f t="shared" si="43"/>
        <v>18657.215999999997</v>
      </c>
      <c r="H143" s="19">
        <f t="shared" si="44"/>
        <v>4110.911999999999</v>
      </c>
      <c r="I143" s="19">
        <f t="shared" si="45"/>
        <v>948.672</v>
      </c>
      <c r="J143" s="19">
        <f t="shared" si="46"/>
        <v>2846.0159999999996</v>
      </c>
      <c r="K143" s="19">
        <f>18*8*4+18*6*2</f>
        <v>792</v>
      </c>
      <c r="L143" s="8"/>
      <c r="M143" s="8"/>
      <c r="N143" s="8"/>
      <c r="O143" s="24">
        <f t="shared" si="36"/>
        <v>3623.4000000000005</v>
      </c>
      <c r="P143" s="32">
        <f t="shared" si="47"/>
        <v>55485.575999999994</v>
      </c>
      <c r="Q143" s="32"/>
      <c r="R143" s="34">
        <f t="shared" si="37"/>
        <v>48619.44</v>
      </c>
      <c r="S143" s="19"/>
      <c r="T143" s="19"/>
      <c r="U143" s="19"/>
      <c r="V143" s="19"/>
      <c r="W143" s="19"/>
      <c r="X143" s="19"/>
      <c r="Y143" s="32">
        <f t="shared" si="48"/>
        <v>0</v>
      </c>
      <c r="Z143" s="32">
        <f t="shared" si="38"/>
        <v>20396.448</v>
      </c>
      <c r="AA143" s="32"/>
      <c r="AB143" s="32">
        <f t="shared" si="32"/>
        <v>7747.487999999999</v>
      </c>
      <c r="AC143" s="34">
        <f t="shared" si="39"/>
        <v>3691.68</v>
      </c>
      <c r="AD143" s="8"/>
      <c r="AE143" s="8"/>
      <c r="AF143" s="34"/>
      <c r="AG143" s="32">
        <f t="shared" si="40"/>
        <v>18657.215999999997</v>
      </c>
      <c r="AH143" s="32">
        <v>57500</v>
      </c>
      <c r="AI143" s="32">
        <f t="shared" si="49"/>
        <v>212097.848</v>
      </c>
    </row>
    <row r="144" spans="1:35" ht="15.75">
      <c r="A144" s="3" t="s">
        <v>102</v>
      </c>
      <c r="B144" s="4" t="s">
        <v>31</v>
      </c>
      <c r="C144" s="3" t="s">
        <v>2</v>
      </c>
      <c r="D144" s="29">
        <v>375.7</v>
      </c>
      <c r="E144" s="19">
        <f t="shared" si="41"/>
        <v>1623.024</v>
      </c>
      <c r="F144" s="19">
        <f t="shared" si="42"/>
        <v>5364.995999999999</v>
      </c>
      <c r="G144" s="19">
        <f t="shared" si="43"/>
        <v>5319.911999999999</v>
      </c>
      <c r="H144" s="19">
        <f t="shared" si="44"/>
        <v>1172.184</v>
      </c>
      <c r="I144" s="19">
        <f t="shared" si="45"/>
        <v>270.50399999999996</v>
      </c>
      <c r="J144" s="19">
        <f t="shared" si="46"/>
        <v>811.512</v>
      </c>
      <c r="K144" s="19">
        <f>8*6*2</f>
        <v>96</v>
      </c>
      <c r="L144" s="8"/>
      <c r="M144" s="8"/>
      <c r="N144" s="8"/>
      <c r="O144" s="24">
        <f t="shared" si="36"/>
        <v>1033.1750000000002</v>
      </c>
      <c r="P144" s="32">
        <f t="shared" si="47"/>
        <v>15691.306999999997</v>
      </c>
      <c r="Q144" s="32"/>
      <c r="R144" s="34">
        <f t="shared" si="37"/>
        <v>13863.33</v>
      </c>
      <c r="S144" s="19"/>
      <c r="T144" s="19"/>
      <c r="U144" s="19"/>
      <c r="V144" s="19"/>
      <c r="W144" s="19"/>
      <c r="X144" s="19"/>
      <c r="Y144" s="32">
        <f t="shared" si="48"/>
        <v>0</v>
      </c>
      <c r="Z144" s="32">
        <f t="shared" si="38"/>
        <v>5815.836</v>
      </c>
      <c r="AA144" s="32"/>
      <c r="AB144" s="32">
        <f t="shared" si="32"/>
        <v>2209.116</v>
      </c>
      <c r="AC144" s="34">
        <f t="shared" si="39"/>
        <v>1054.3600000000001</v>
      </c>
      <c r="AD144" s="8"/>
      <c r="AE144" s="8"/>
      <c r="AF144" s="34"/>
      <c r="AG144" s="32">
        <f t="shared" si="40"/>
        <v>5319.911999999999</v>
      </c>
      <c r="AH144" s="32"/>
      <c r="AI144" s="32">
        <f t="shared" si="49"/>
        <v>43953.861</v>
      </c>
    </row>
    <row r="145" spans="1:35" ht="15.75">
      <c r="A145" s="3" t="s">
        <v>102</v>
      </c>
      <c r="B145" s="4" t="s">
        <v>37</v>
      </c>
      <c r="C145" s="3" t="s">
        <v>2</v>
      </c>
      <c r="D145" s="26">
        <v>5718.8</v>
      </c>
      <c r="E145" s="19">
        <f t="shared" si="41"/>
        <v>24705.216</v>
      </c>
      <c r="F145" s="19">
        <f t="shared" si="42"/>
        <v>81664.464</v>
      </c>
      <c r="G145" s="19">
        <f t="shared" si="43"/>
        <v>80978.208</v>
      </c>
      <c r="H145" s="19">
        <f t="shared" si="44"/>
        <v>17842.656000000003</v>
      </c>
      <c r="I145" s="19">
        <f t="shared" si="45"/>
        <v>4117.536</v>
      </c>
      <c r="J145" s="19">
        <f t="shared" si="46"/>
        <v>12352.608</v>
      </c>
      <c r="K145" s="19">
        <f>133*6*2</f>
        <v>1596</v>
      </c>
      <c r="L145" s="8">
        <f>144.73*3</f>
        <v>434.18999999999994</v>
      </c>
      <c r="M145" s="8"/>
      <c r="N145" s="8"/>
      <c r="O145" s="24">
        <f t="shared" si="36"/>
        <v>15726.7</v>
      </c>
      <c r="P145" s="32">
        <f t="shared" si="47"/>
        <v>239417.578</v>
      </c>
      <c r="Q145" s="32">
        <f>D145*1.27*5+D145*1.34*7</f>
        <v>89956.72400000002</v>
      </c>
      <c r="R145" s="34">
        <f t="shared" si="37"/>
        <v>211023.72000000003</v>
      </c>
      <c r="S145" s="19"/>
      <c r="T145" s="19"/>
      <c r="U145" s="19"/>
      <c r="V145" s="19"/>
      <c r="W145" s="19"/>
      <c r="X145" s="19"/>
      <c r="Y145" s="32">
        <f t="shared" si="48"/>
        <v>0</v>
      </c>
      <c r="Z145" s="32">
        <f t="shared" si="38"/>
        <v>88527.024</v>
      </c>
      <c r="AA145" s="32"/>
      <c r="AB145" s="32">
        <f t="shared" si="32"/>
        <v>33626.544</v>
      </c>
      <c r="AC145" s="34">
        <f t="shared" si="39"/>
        <v>16015.039999999999</v>
      </c>
      <c r="AD145" s="8"/>
      <c r="AE145" s="8"/>
      <c r="AF145" s="34"/>
      <c r="AG145" s="32">
        <f t="shared" si="40"/>
        <v>80978.208</v>
      </c>
      <c r="AH145" s="32">
        <v>57500</v>
      </c>
      <c r="AI145" s="32">
        <f t="shared" si="49"/>
        <v>817044.8380000001</v>
      </c>
    </row>
    <row r="146" spans="1:35" ht="15.75">
      <c r="A146" s="3" t="s">
        <v>102</v>
      </c>
      <c r="B146" s="4" t="s">
        <v>104</v>
      </c>
      <c r="C146" s="3" t="s">
        <v>2</v>
      </c>
      <c r="D146" s="26">
        <v>1039.6</v>
      </c>
      <c r="E146" s="19">
        <f t="shared" si="41"/>
        <v>4491.072</v>
      </c>
      <c r="F146" s="19">
        <f t="shared" si="42"/>
        <v>14845.487999999998</v>
      </c>
      <c r="G146" s="19">
        <f t="shared" si="43"/>
        <v>14720.735999999997</v>
      </c>
      <c r="H146" s="19">
        <f t="shared" si="44"/>
        <v>3243.5519999999997</v>
      </c>
      <c r="I146" s="19">
        <f t="shared" si="45"/>
        <v>748.512</v>
      </c>
      <c r="J146" s="19">
        <f t="shared" si="46"/>
        <v>2245.536</v>
      </c>
      <c r="K146" s="19">
        <f>16*8*4+16*6*2</f>
        <v>704</v>
      </c>
      <c r="L146" s="8"/>
      <c r="M146" s="8"/>
      <c r="N146" s="8">
        <f>1124*20.77</f>
        <v>23345.48</v>
      </c>
      <c r="O146" s="24">
        <f t="shared" si="36"/>
        <v>2858.8999999999996</v>
      </c>
      <c r="P146" s="32">
        <f t="shared" si="47"/>
        <v>67203.276</v>
      </c>
      <c r="Q146" s="32"/>
      <c r="R146" s="34">
        <f t="shared" si="37"/>
        <v>38361.24</v>
      </c>
      <c r="S146" s="19"/>
      <c r="T146" s="19"/>
      <c r="U146" s="19"/>
      <c r="V146" s="19"/>
      <c r="W146" s="19"/>
      <c r="X146" s="19"/>
      <c r="Y146" s="32">
        <f t="shared" si="48"/>
        <v>0</v>
      </c>
      <c r="Z146" s="32">
        <f t="shared" si="38"/>
        <v>16093.007999999998</v>
      </c>
      <c r="AA146" s="32"/>
      <c r="AB146" s="32">
        <f t="shared" si="32"/>
        <v>6112.847999999999</v>
      </c>
      <c r="AC146" s="34">
        <f t="shared" si="39"/>
        <v>2913.2799999999997</v>
      </c>
      <c r="AD146" s="8"/>
      <c r="AE146" s="8"/>
      <c r="AF146" s="34"/>
      <c r="AG146" s="32">
        <f t="shared" si="40"/>
        <v>14720.735999999997</v>
      </c>
      <c r="AH146" s="32"/>
      <c r="AI146" s="32">
        <f t="shared" si="49"/>
        <v>145404.388</v>
      </c>
    </row>
    <row r="147" spans="1:35" ht="15.75">
      <c r="A147" s="3" t="s">
        <v>102</v>
      </c>
      <c r="B147" s="4" t="s">
        <v>72</v>
      </c>
      <c r="C147" s="3" t="s">
        <v>2</v>
      </c>
      <c r="D147" s="26">
        <v>399.7</v>
      </c>
      <c r="E147" s="19">
        <f t="shared" si="41"/>
        <v>1726.704</v>
      </c>
      <c r="F147" s="19">
        <f t="shared" si="42"/>
        <v>5707.715999999999</v>
      </c>
      <c r="G147" s="19">
        <f t="shared" si="43"/>
        <v>5659.7519999999995</v>
      </c>
      <c r="H147" s="19">
        <f t="shared" si="44"/>
        <v>1247.0639999999999</v>
      </c>
      <c r="I147" s="19">
        <f t="shared" si="45"/>
        <v>287.784</v>
      </c>
      <c r="J147" s="19">
        <f t="shared" si="46"/>
        <v>863.352</v>
      </c>
      <c r="K147" s="19">
        <f>8*230</f>
        <v>1840</v>
      </c>
      <c r="L147" s="8"/>
      <c r="M147" s="8"/>
      <c r="N147" s="8"/>
      <c r="O147" s="24">
        <f t="shared" si="36"/>
        <v>1099.175</v>
      </c>
      <c r="P147" s="32">
        <f t="shared" si="47"/>
        <v>18431.547</v>
      </c>
      <c r="Q147" s="32"/>
      <c r="R147" s="34">
        <f t="shared" si="37"/>
        <v>14748.93</v>
      </c>
      <c r="S147" s="19"/>
      <c r="T147" s="19"/>
      <c r="U147" s="19"/>
      <c r="V147" s="19"/>
      <c r="W147" s="19"/>
      <c r="X147" s="19"/>
      <c r="Y147" s="32">
        <f t="shared" si="48"/>
        <v>0</v>
      </c>
      <c r="Z147" s="32">
        <f t="shared" si="38"/>
        <v>6187.356000000001</v>
      </c>
      <c r="AA147" s="32"/>
      <c r="AB147" s="32">
        <f t="shared" si="32"/>
        <v>2350.236</v>
      </c>
      <c r="AC147" s="34">
        <f t="shared" si="39"/>
        <v>1121.56</v>
      </c>
      <c r="AD147" s="8"/>
      <c r="AE147" s="8"/>
      <c r="AF147" s="34"/>
      <c r="AG147" s="32">
        <f t="shared" si="40"/>
        <v>5659.7519999999995</v>
      </c>
      <c r="AH147" s="32"/>
      <c r="AI147" s="32">
        <f t="shared" si="49"/>
        <v>48499.380999999994</v>
      </c>
    </row>
    <row r="148" spans="1:35" ht="15.75">
      <c r="A148" s="3" t="s">
        <v>102</v>
      </c>
      <c r="B148" s="4" t="s">
        <v>105</v>
      </c>
      <c r="C148" s="3" t="s">
        <v>2</v>
      </c>
      <c r="D148" s="29">
        <v>280.9</v>
      </c>
      <c r="E148" s="19">
        <f t="shared" si="41"/>
        <v>1213.4879999999998</v>
      </c>
      <c r="F148" s="19">
        <f t="shared" si="42"/>
        <v>4011.2519999999995</v>
      </c>
      <c r="G148" s="19">
        <f t="shared" si="43"/>
        <v>3977.543999999999</v>
      </c>
      <c r="H148" s="19">
        <f t="shared" si="44"/>
        <v>876.4079999999999</v>
      </c>
      <c r="I148" s="19">
        <f t="shared" si="45"/>
        <v>202.248</v>
      </c>
      <c r="J148" s="19">
        <f t="shared" si="46"/>
        <v>606.7439999999999</v>
      </c>
      <c r="K148" s="19">
        <f>5*230</f>
        <v>1150</v>
      </c>
      <c r="L148" s="8"/>
      <c r="M148" s="8"/>
      <c r="N148" s="8"/>
      <c r="O148" s="24">
        <f t="shared" si="36"/>
        <v>772.475</v>
      </c>
      <c r="P148" s="32">
        <f t="shared" si="47"/>
        <v>12810.159</v>
      </c>
      <c r="Q148" s="32"/>
      <c r="R148" s="34">
        <f t="shared" si="37"/>
        <v>10365.21</v>
      </c>
      <c r="S148" s="19"/>
      <c r="T148" s="19"/>
      <c r="U148" s="19"/>
      <c r="V148" s="19"/>
      <c r="W148" s="19"/>
      <c r="X148" s="19"/>
      <c r="Y148" s="32">
        <f t="shared" si="48"/>
        <v>0</v>
      </c>
      <c r="Z148" s="32">
        <f t="shared" si="38"/>
        <v>4348.332</v>
      </c>
      <c r="AA148" s="32"/>
      <c r="AB148" s="32">
        <f t="shared" si="32"/>
        <v>1651.692</v>
      </c>
      <c r="AC148" s="34">
        <f t="shared" si="39"/>
        <v>788.92</v>
      </c>
      <c r="AD148" s="8"/>
      <c r="AE148" s="8"/>
      <c r="AF148" s="34"/>
      <c r="AG148" s="32">
        <f t="shared" si="40"/>
        <v>3977.543999999999</v>
      </c>
      <c r="AH148" s="32"/>
      <c r="AI148" s="32">
        <f t="shared" si="49"/>
        <v>33941.856999999996</v>
      </c>
    </row>
    <row r="149" spans="1:35" ht="15.75">
      <c r="A149" s="5" t="s">
        <v>106</v>
      </c>
      <c r="B149" s="5" t="s">
        <v>70</v>
      </c>
      <c r="C149" s="3" t="s">
        <v>2</v>
      </c>
      <c r="D149" s="29">
        <v>129.7</v>
      </c>
      <c r="E149" s="19">
        <f t="shared" si="41"/>
        <v>560.3039999999999</v>
      </c>
      <c r="F149" s="19">
        <f t="shared" si="42"/>
        <v>1852.116</v>
      </c>
      <c r="G149" s="19">
        <f t="shared" si="43"/>
        <v>1836.552</v>
      </c>
      <c r="H149" s="19">
        <f t="shared" si="44"/>
        <v>404.664</v>
      </c>
      <c r="I149" s="19">
        <f t="shared" si="45"/>
        <v>93.38399999999999</v>
      </c>
      <c r="J149" s="19">
        <f t="shared" si="46"/>
        <v>280.15199999999993</v>
      </c>
      <c r="K149" s="19">
        <f>3*6*2</f>
        <v>36</v>
      </c>
      <c r="L149" s="8"/>
      <c r="M149" s="8"/>
      <c r="N149" s="8"/>
      <c r="O149" s="24">
        <f t="shared" si="36"/>
        <v>356.67499999999995</v>
      </c>
      <c r="P149" s="32">
        <f t="shared" si="47"/>
        <v>5419.847</v>
      </c>
      <c r="Q149" s="32"/>
      <c r="R149" s="34">
        <f t="shared" si="37"/>
        <v>4785.93</v>
      </c>
      <c r="S149" s="19"/>
      <c r="T149" s="19"/>
      <c r="U149" s="19"/>
      <c r="V149" s="19"/>
      <c r="W149" s="19"/>
      <c r="X149" s="19"/>
      <c r="Y149" s="32">
        <f t="shared" si="48"/>
        <v>0</v>
      </c>
      <c r="Z149" s="32">
        <f t="shared" si="38"/>
        <v>2007.7559999999999</v>
      </c>
      <c r="AA149" s="32"/>
      <c r="AB149" s="32">
        <f t="shared" si="32"/>
        <v>762.6359999999999</v>
      </c>
      <c r="AC149" s="34">
        <f t="shared" si="39"/>
        <v>365.55999999999995</v>
      </c>
      <c r="AD149" s="8"/>
      <c r="AE149" s="8"/>
      <c r="AF149" s="34"/>
      <c r="AG149" s="32">
        <f t="shared" si="40"/>
        <v>1836.552</v>
      </c>
      <c r="AH149" s="32"/>
      <c r="AI149" s="32">
        <f t="shared" si="49"/>
        <v>15178.280999999999</v>
      </c>
    </row>
    <row r="150" spans="1:35" ht="15.75">
      <c r="A150" s="3" t="s">
        <v>106</v>
      </c>
      <c r="B150" s="4" t="s">
        <v>65</v>
      </c>
      <c r="C150" s="3" t="s">
        <v>2</v>
      </c>
      <c r="D150" s="29">
        <v>178.3</v>
      </c>
      <c r="E150" s="19">
        <f t="shared" si="41"/>
        <v>770.2560000000001</v>
      </c>
      <c r="F150" s="19">
        <f t="shared" si="42"/>
        <v>2546.124</v>
      </c>
      <c r="G150" s="19">
        <f t="shared" si="43"/>
        <v>2524.728</v>
      </c>
      <c r="H150" s="19">
        <f t="shared" si="44"/>
        <v>556.296</v>
      </c>
      <c r="I150" s="19">
        <f t="shared" si="45"/>
        <v>128.376</v>
      </c>
      <c r="J150" s="19">
        <f t="shared" si="46"/>
        <v>385.12800000000004</v>
      </c>
      <c r="K150" s="19">
        <f>4*6*2</f>
        <v>48</v>
      </c>
      <c r="L150" s="8"/>
      <c r="M150" s="8"/>
      <c r="N150" s="8"/>
      <c r="O150" s="24">
        <f t="shared" si="36"/>
        <v>490.32500000000005</v>
      </c>
      <c r="P150" s="32">
        <f t="shared" si="47"/>
        <v>7449.233</v>
      </c>
      <c r="Q150" s="32"/>
      <c r="R150" s="34">
        <f t="shared" si="37"/>
        <v>6579.27</v>
      </c>
      <c r="S150" s="19"/>
      <c r="T150" s="19"/>
      <c r="U150" s="19"/>
      <c r="V150" s="19"/>
      <c r="W150" s="19"/>
      <c r="X150" s="19"/>
      <c r="Y150" s="32">
        <f t="shared" si="48"/>
        <v>0</v>
      </c>
      <c r="Z150" s="32">
        <f t="shared" si="38"/>
        <v>2760.0840000000003</v>
      </c>
      <c r="AA150" s="32"/>
      <c r="AB150" s="32">
        <f t="shared" si="32"/>
        <v>1048.404</v>
      </c>
      <c r="AC150" s="34">
        <f t="shared" si="39"/>
        <v>501.64000000000004</v>
      </c>
      <c r="AD150" s="8"/>
      <c r="AE150" s="8"/>
      <c r="AF150" s="34"/>
      <c r="AG150" s="32">
        <f t="shared" si="40"/>
        <v>2524.728</v>
      </c>
      <c r="AH150" s="32"/>
      <c r="AI150" s="32">
        <f t="shared" si="49"/>
        <v>20863.358999999997</v>
      </c>
    </row>
    <row r="151" spans="1:35" ht="15.75">
      <c r="A151" s="5" t="s">
        <v>106</v>
      </c>
      <c r="B151" s="5" t="s">
        <v>107</v>
      </c>
      <c r="C151" s="3" t="s">
        <v>2</v>
      </c>
      <c r="D151" s="29">
        <v>202.5</v>
      </c>
      <c r="E151" s="19">
        <f t="shared" si="41"/>
        <v>874.8</v>
      </c>
      <c r="F151" s="19">
        <f t="shared" si="42"/>
        <v>2891.7</v>
      </c>
      <c r="G151" s="19">
        <f t="shared" si="43"/>
        <v>2867.3999999999996</v>
      </c>
      <c r="H151" s="19">
        <f t="shared" si="44"/>
        <v>631.8</v>
      </c>
      <c r="I151" s="19">
        <f t="shared" si="45"/>
        <v>145.8</v>
      </c>
      <c r="J151" s="19">
        <f t="shared" si="46"/>
        <v>437.4</v>
      </c>
      <c r="K151" s="19">
        <f>6*230</f>
        <v>1380</v>
      </c>
      <c r="L151" s="8"/>
      <c r="M151" s="8"/>
      <c r="N151" s="8"/>
      <c r="O151" s="24">
        <f t="shared" si="36"/>
        <v>556.8750000000001</v>
      </c>
      <c r="P151" s="32">
        <f t="shared" si="47"/>
        <v>9785.775</v>
      </c>
      <c r="Q151" s="32"/>
      <c r="R151" s="34">
        <f t="shared" si="37"/>
        <v>7472.25</v>
      </c>
      <c r="S151" s="19"/>
      <c r="T151" s="19"/>
      <c r="U151" s="19"/>
      <c r="V151" s="19"/>
      <c r="W151" s="19"/>
      <c r="X151" s="19"/>
      <c r="Y151" s="32">
        <f t="shared" si="48"/>
        <v>0</v>
      </c>
      <c r="Z151" s="32">
        <f t="shared" si="38"/>
        <v>3134.7000000000003</v>
      </c>
      <c r="AA151" s="32"/>
      <c r="AB151" s="32">
        <f t="shared" si="32"/>
        <v>1190.6999999999998</v>
      </c>
      <c r="AC151" s="34">
        <f t="shared" si="39"/>
        <v>569.4</v>
      </c>
      <c r="AD151" s="8"/>
      <c r="AE151" s="8"/>
      <c r="AF151" s="34"/>
      <c r="AG151" s="32">
        <f t="shared" si="40"/>
        <v>2867.3999999999996</v>
      </c>
      <c r="AH151" s="32"/>
      <c r="AI151" s="32">
        <f t="shared" si="49"/>
        <v>25020.225000000006</v>
      </c>
    </row>
    <row r="152" spans="1:35" ht="15.75">
      <c r="A152" s="3" t="s">
        <v>106</v>
      </c>
      <c r="B152" s="4" t="s">
        <v>108</v>
      </c>
      <c r="C152" s="3" t="s">
        <v>2</v>
      </c>
      <c r="D152" s="26">
        <v>640.3</v>
      </c>
      <c r="E152" s="19">
        <f t="shared" si="41"/>
        <v>2766.0959999999995</v>
      </c>
      <c r="F152" s="19">
        <f t="shared" si="42"/>
        <v>9143.483999999999</v>
      </c>
      <c r="G152" s="19">
        <f t="shared" si="43"/>
        <v>9066.647999999997</v>
      </c>
      <c r="H152" s="19">
        <f t="shared" si="44"/>
        <v>1997.7359999999999</v>
      </c>
      <c r="I152" s="19">
        <f t="shared" si="45"/>
        <v>461.01599999999996</v>
      </c>
      <c r="J152" s="19">
        <f t="shared" si="46"/>
        <v>1383.0479999999998</v>
      </c>
      <c r="K152" s="19">
        <f>16*8*4+16*6*2</f>
        <v>704</v>
      </c>
      <c r="L152" s="8">
        <f>144.73*22</f>
        <v>3184.06</v>
      </c>
      <c r="M152" s="8"/>
      <c r="N152" s="8"/>
      <c r="O152" s="24">
        <f t="shared" si="36"/>
        <v>1760.825</v>
      </c>
      <c r="P152" s="32">
        <f t="shared" si="47"/>
        <v>30466.912999999997</v>
      </c>
      <c r="Q152" s="32"/>
      <c r="R152" s="34">
        <f t="shared" si="37"/>
        <v>23627.07</v>
      </c>
      <c r="S152" s="19">
        <f>120*700</f>
        <v>84000</v>
      </c>
      <c r="T152" s="19"/>
      <c r="U152" s="19"/>
      <c r="V152" s="19"/>
      <c r="W152" s="19"/>
      <c r="X152" s="19"/>
      <c r="Y152" s="32">
        <f t="shared" si="48"/>
        <v>84000</v>
      </c>
      <c r="Z152" s="32">
        <f t="shared" si="38"/>
        <v>9911.844</v>
      </c>
      <c r="AA152" s="32"/>
      <c r="AB152" s="32">
        <f t="shared" si="32"/>
        <v>3764.9639999999995</v>
      </c>
      <c r="AC152" s="34">
        <f t="shared" si="39"/>
        <v>1795.2400000000002</v>
      </c>
      <c r="AD152" s="8"/>
      <c r="AE152" s="8"/>
      <c r="AF152" s="34"/>
      <c r="AG152" s="32">
        <f t="shared" si="40"/>
        <v>9066.647999999997</v>
      </c>
      <c r="AH152" s="32">
        <v>57500</v>
      </c>
      <c r="AI152" s="32">
        <f t="shared" si="49"/>
        <v>220132.679</v>
      </c>
    </row>
    <row r="153" spans="1:35" ht="15.75">
      <c r="A153" s="3" t="s">
        <v>106</v>
      </c>
      <c r="B153" s="4" t="s">
        <v>109</v>
      </c>
      <c r="C153" s="3" t="s">
        <v>2</v>
      </c>
      <c r="D153" s="26">
        <v>636.1</v>
      </c>
      <c r="E153" s="19">
        <f t="shared" si="41"/>
        <v>2747.952</v>
      </c>
      <c r="F153" s="19">
        <f t="shared" si="42"/>
        <v>9083.508</v>
      </c>
      <c r="G153" s="19">
        <f t="shared" si="43"/>
        <v>9007.176</v>
      </c>
      <c r="H153" s="19">
        <f t="shared" si="44"/>
        <v>1984.6320000000003</v>
      </c>
      <c r="I153" s="19">
        <f t="shared" si="45"/>
        <v>457.99199999999996</v>
      </c>
      <c r="J153" s="19">
        <f t="shared" si="46"/>
        <v>1373.976</v>
      </c>
      <c r="K153" s="19">
        <f>16*8*4+16*6*2</f>
        <v>704</v>
      </c>
      <c r="L153" s="8">
        <f>144.73*22</f>
        <v>3184.06</v>
      </c>
      <c r="M153" s="8"/>
      <c r="N153" s="8">
        <f>570*20.77</f>
        <v>11838.9</v>
      </c>
      <c r="O153" s="24">
        <f t="shared" si="36"/>
        <v>1749.275</v>
      </c>
      <c r="P153" s="32">
        <f t="shared" si="47"/>
        <v>42131.471</v>
      </c>
      <c r="Q153" s="32"/>
      <c r="R153" s="34">
        <f t="shared" si="37"/>
        <v>23472.090000000004</v>
      </c>
      <c r="S153" s="19">
        <f>141*700</f>
        <v>98700</v>
      </c>
      <c r="T153" s="19"/>
      <c r="U153" s="19"/>
      <c r="V153" s="19"/>
      <c r="W153" s="19">
        <f>4*220</f>
        <v>880</v>
      </c>
      <c r="X153" s="19"/>
      <c r="Y153" s="32">
        <f t="shared" si="48"/>
        <v>99580</v>
      </c>
      <c r="Z153" s="32">
        <f t="shared" si="38"/>
        <v>9846.828000000001</v>
      </c>
      <c r="AA153" s="32"/>
      <c r="AB153" s="32">
        <f t="shared" si="32"/>
        <v>3740.268</v>
      </c>
      <c r="AC153" s="34">
        <f t="shared" si="39"/>
        <v>1783.4800000000002</v>
      </c>
      <c r="AD153" s="8"/>
      <c r="AE153" s="8"/>
      <c r="AF153" s="34"/>
      <c r="AG153" s="32">
        <f t="shared" si="40"/>
        <v>9007.176</v>
      </c>
      <c r="AH153" s="32">
        <v>57500</v>
      </c>
      <c r="AI153" s="32">
        <f t="shared" si="49"/>
        <v>247061.31300000002</v>
      </c>
    </row>
    <row r="154" spans="1:35" ht="15.75">
      <c r="A154" s="3" t="s">
        <v>110</v>
      </c>
      <c r="B154" s="4" t="s">
        <v>1</v>
      </c>
      <c r="C154" s="3" t="s">
        <v>2</v>
      </c>
      <c r="D154" s="26">
        <v>3430</v>
      </c>
      <c r="E154" s="19">
        <f t="shared" si="41"/>
        <v>14817.599999999999</v>
      </c>
      <c r="F154" s="19">
        <f t="shared" si="42"/>
        <v>48980.399999999994</v>
      </c>
      <c r="G154" s="19">
        <f t="shared" si="43"/>
        <v>48568.799999999996</v>
      </c>
      <c r="H154" s="19">
        <f t="shared" si="44"/>
        <v>10701.6</v>
      </c>
      <c r="I154" s="19">
        <f t="shared" si="45"/>
        <v>2469.6</v>
      </c>
      <c r="J154" s="19">
        <f t="shared" si="46"/>
        <v>7408.799999999999</v>
      </c>
      <c r="K154" s="19">
        <f>75*6*2</f>
        <v>900</v>
      </c>
      <c r="L154" s="8">
        <f>144.73*3</f>
        <v>434.18999999999994</v>
      </c>
      <c r="M154" s="8"/>
      <c r="N154" s="8"/>
      <c r="O154" s="24">
        <f t="shared" si="36"/>
        <v>9432.500000000002</v>
      </c>
      <c r="P154" s="32">
        <f t="shared" si="47"/>
        <v>143713.49</v>
      </c>
      <c r="Q154" s="32">
        <f>D154*1.27*5+D154*1.34*7</f>
        <v>53953.90000000001</v>
      </c>
      <c r="R154" s="34">
        <f t="shared" si="37"/>
        <v>126567</v>
      </c>
      <c r="S154" s="19"/>
      <c r="T154" s="19"/>
      <c r="U154" s="19"/>
      <c r="V154" s="19"/>
      <c r="W154" s="19"/>
      <c r="X154" s="19"/>
      <c r="Y154" s="32">
        <f t="shared" si="48"/>
        <v>0</v>
      </c>
      <c r="Z154" s="32">
        <f t="shared" si="38"/>
        <v>53096.399999999994</v>
      </c>
      <c r="AA154" s="32"/>
      <c r="AB154" s="32">
        <f t="shared" si="32"/>
        <v>20168.4</v>
      </c>
      <c r="AC154" s="34">
        <f t="shared" si="39"/>
        <v>9606.4</v>
      </c>
      <c r="AD154" s="8"/>
      <c r="AE154" s="8"/>
      <c r="AF154" s="34"/>
      <c r="AG154" s="32">
        <f t="shared" si="40"/>
        <v>48568.799999999996</v>
      </c>
      <c r="AH154" s="32">
        <v>57500</v>
      </c>
      <c r="AI154" s="32">
        <f t="shared" si="49"/>
        <v>513174.3900000001</v>
      </c>
    </row>
    <row r="155" spans="1:35" ht="15.75">
      <c r="A155" s="3" t="s">
        <v>110</v>
      </c>
      <c r="B155" s="4" t="s">
        <v>1</v>
      </c>
      <c r="C155" s="3" t="s">
        <v>111</v>
      </c>
      <c r="D155" s="26">
        <v>3452.8</v>
      </c>
      <c r="E155" s="19">
        <f t="shared" si="41"/>
        <v>14916.096000000001</v>
      </c>
      <c r="F155" s="19">
        <f t="shared" si="42"/>
        <v>49305.984000000004</v>
      </c>
      <c r="G155" s="19">
        <f t="shared" si="43"/>
        <v>48891.648</v>
      </c>
      <c r="H155" s="19">
        <f t="shared" si="44"/>
        <v>10772.736</v>
      </c>
      <c r="I155" s="19">
        <f t="shared" si="45"/>
        <v>2486.016</v>
      </c>
      <c r="J155" s="19">
        <f t="shared" si="46"/>
        <v>7458.048000000001</v>
      </c>
      <c r="K155" s="19">
        <f>75*6*2</f>
        <v>900</v>
      </c>
      <c r="L155" s="8">
        <f>144.73*3</f>
        <v>434.18999999999994</v>
      </c>
      <c r="M155" s="8"/>
      <c r="N155" s="8"/>
      <c r="O155" s="24">
        <f t="shared" si="36"/>
        <v>9495.2</v>
      </c>
      <c r="P155" s="32">
        <f t="shared" si="47"/>
        <v>144659.91800000003</v>
      </c>
      <c r="Q155" s="32">
        <f>D155*1.27*5+D155*1.34*7</f>
        <v>54312.54400000001</v>
      </c>
      <c r="R155" s="34">
        <f t="shared" si="37"/>
        <v>127408.32000000002</v>
      </c>
      <c r="S155" s="19"/>
      <c r="T155" s="19"/>
      <c r="U155" s="19"/>
      <c r="V155" s="19"/>
      <c r="W155" s="19"/>
      <c r="X155" s="19"/>
      <c r="Y155" s="32">
        <f t="shared" si="48"/>
        <v>0</v>
      </c>
      <c r="Z155" s="32">
        <f t="shared" si="38"/>
        <v>53449.344</v>
      </c>
      <c r="AA155" s="32"/>
      <c r="AB155" s="32">
        <f t="shared" si="32"/>
        <v>20302.464</v>
      </c>
      <c r="AC155" s="34">
        <f t="shared" si="39"/>
        <v>9670.24</v>
      </c>
      <c r="AD155" s="8"/>
      <c r="AE155" s="8"/>
      <c r="AF155" s="34"/>
      <c r="AG155" s="32">
        <f t="shared" si="40"/>
        <v>48891.648</v>
      </c>
      <c r="AH155" s="32"/>
      <c r="AI155" s="32">
        <f t="shared" si="49"/>
        <v>458694.478</v>
      </c>
    </row>
    <row r="156" spans="1:35" ht="15.75">
      <c r="A156" s="3" t="s">
        <v>110</v>
      </c>
      <c r="B156" s="4" t="s">
        <v>34</v>
      </c>
      <c r="C156" s="3" t="s">
        <v>2</v>
      </c>
      <c r="D156" s="29">
        <v>61</v>
      </c>
      <c r="E156" s="19">
        <f t="shared" si="41"/>
        <v>263.52</v>
      </c>
      <c r="F156" s="19">
        <f t="shared" si="42"/>
        <v>871.08</v>
      </c>
      <c r="G156" s="19">
        <f t="shared" si="43"/>
        <v>863.7599999999999</v>
      </c>
      <c r="H156" s="19">
        <f t="shared" si="44"/>
        <v>190.32000000000002</v>
      </c>
      <c r="I156" s="19">
        <f t="shared" si="45"/>
        <v>43.919999999999995</v>
      </c>
      <c r="J156" s="19">
        <f t="shared" si="46"/>
        <v>131.76</v>
      </c>
      <c r="K156" s="19">
        <f>2*230</f>
        <v>460</v>
      </c>
      <c r="L156" s="8"/>
      <c r="M156" s="8"/>
      <c r="N156" s="8"/>
      <c r="O156" s="24">
        <f t="shared" si="36"/>
        <v>167.75000000000003</v>
      </c>
      <c r="P156" s="32">
        <f t="shared" si="47"/>
        <v>2992.1099999999997</v>
      </c>
      <c r="Q156" s="32"/>
      <c r="R156" s="34">
        <f t="shared" si="37"/>
        <v>2250.9</v>
      </c>
      <c r="S156" s="19"/>
      <c r="T156" s="19"/>
      <c r="U156" s="19"/>
      <c r="V156" s="19"/>
      <c r="W156" s="19"/>
      <c r="X156" s="19"/>
      <c r="Y156" s="32">
        <f t="shared" si="48"/>
        <v>0</v>
      </c>
      <c r="Z156" s="32">
        <f t="shared" si="38"/>
        <v>944.28</v>
      </c>
      <c r="AA156" s="32"/>
      <c r="AB156" s="32">
        <f t="shared" si="32"/>
        <v>358.68</v>
      </c>
      <c r="AC156" s="34">
        <f t="shared" si="39"/>
        <v>173.20000000000002</v>
      </c>
      <c r="AD156" s="8"/>
      <c r="AE156" s="8"/>
      <c r="AF156" s="34"/>
      <c r="AG156" s="32">
        <f t="shared" si="40"/>
        <v>863.7599999999999</v>
      </c>
      <c r="AH156" s="32"/>
      <c r="AI156" s="32">
        <f t="shared" si="49"/>
        <v>7582.93</v>
      </c>
    </row>
    <row r="157" spans="1:35" ht="15.75">
      <c r="A157" s="3" t="s">
        <v>112</v>
      </c>
      <c r="B157" s="4" t="s">
        <v>80</v>
      </c>
      <c r="C157" s="3" t="s">
        <v>2</v>
      </c>
      <c r="D157" s="29">
        <v>1207.2</v>
      </c>
      <c r="E157" s="19">
        <f t="shared" si="41"/>
        <v>5215.103999999999</v>
      </c>
      <c r="F157" s="19">
        <f t="shared" si="42"/>
        <v>17238.816</v>
      </c>
      <c r="G157" s="19">
        <f t="shared" si="43"/>
        <v>17093.951999999997</v>
      </c>
      <c r="H157" s="19">
        <f t="shared" si="44"/>
        <v>3766.464</v>
      </c>
      <c r="I157" s="19">
        <f t="shared" si="45"/>
        <v>869.184</v>
      </c>
      <c r="J157" s="19">
        <f t="shared" si="46"/>
        <v>2607.5519999999997</v>
      </c>
      <c r="K157" s="19">
        <f>16*230</f>
        <v>3680</v>
      </c>
      <c r="L157" s="8">
        <f>144.73*2</f>
        <v>289.46</v>
      </c>
      <c r="M157" s="8"/>
      <c r="N157" s="8"/>
      <c r="O157" s="24">
        <f t="shared" si="36"/>
        <v>3319.8</v>
      </c>
      <c r="P157" s="32">
        <f t="shared" si="47"/>
        <v>54080.332</v>
      </c>
      <c r="Q157" s="32"/>
      <c r="R157" s="34">
        <f t="shared" si="37"/>
        <v>44545.68000000001</v>
      </c>
      <c r="S157" s="19"/>
      <c r="T157" s="19"/>
      <c r="U157" s="19"/>
      <c r="V157" s="19"/>
      <c r="W157" s="19"/>
      <c r="X157" s="19"/>
      <c r="Y157" s="32">
        <f t="shared" si="48"/>
        <v>0</v>
      </c>
      <c r="Z157" s="32">
        <f t="shared" si="38"/>
        <v>18687.456</v>
      </c>
      <c r="AA157" s="32"/>
      <c r="AB157" s="32">
        <f t="shared" si="32"/>
        <v>7098.336</v>
      </c>
      <c r="AC157" s="34">
        <f t="shared" si="39"/>
        <v>3382.5600000000004</v>
      </c>
      <c r="AD157" s="8"/>
      <c r="AE157" s="8"/>
      <c r="AF157" s="34"/>
      <c r="AG157" s="32">
        <f t="shared" si="40"/>
        <v>17093.951999999997</v>
      </c>
      <c r="AH157" s="32"/>
      <c r="AI157" s="32">
        <f t="shared" si="49"/>
        <v>144888.31600000002</v>
      </c>
    </row>
    <row r="158" spans="1:35" ht="15.75">
      <c r="A158" s="3" t="s">
        <v>113</v>
      </c>
      <c r="B158" s="4" t="s">
        <v>39</v>
      </c>
      <c r="C158" s="3" t="s">
        <v>2</v>
      </c>
      <c r="D158" s="26">
        <v>9787.2</v>
      </c>
      <c r="E158" s="19">
        <f t="shared" si="41"/>
        <v>42280.704000000005</v>
      </c>
      <c r="F158" s="19">
        <f t="shared" si="42"/>
        <v>139761.21600000001</v>
      </c>
      <c r="G158" s="19">
        <f t="shared" si="43"/>
        <v>138586.752</v>
      </c>
      <c r="H158" s="19">
        <f t="shared" si="44"/>
        <v>30536.064000000006</v>
      </c>
      <c r="I158" s="19">
        <f t="shared" si="45"/>
        <v>7046.784</v>
      </c>
      <c r="J158" s="19">
        <f t="shared" si="46"/>
        <v>21140.352000000003</v>
      </c>
      <c r="K158" s="19">
        <f>179*6*2</f>
        <v>2148</v>
      </c>
      <c r="L158" s="8">
        <f>144.73*3</f>
        <v>434.18999999999994</v>
      </c>
      <c r="M158" s="8"/>
      <c r="N158" s="8"/>
      <c r="O158" s="24">
        <f t="shared" si="36"/>
        <v>26914.800000000003</v>
      </c>
      <c r="P158" s="32">
        <f t="shared" si="47"/>
        <v>408848.862</v>
      </c>
      <c r="Q158" s="32">
        <f aca="true" t="shared" si="50" ref="Q158:Q177">D158*1.27*5+D158*1.34*7</f>
        <v>153952.65600000002</v>
      </c>
      <c r="R158" s="34">
        <f t="shared" si="37"/>
        <v>361147.68000000005</v>
      </c>
      <c r="S158" s="19"/>
      <c r="T158" s="19"/>
      <c r="U158" s="19"/>
      <c r="V158" s="19"/>
      <c r="W158" s="19"/>
      <c r="X158" s="19"/>
      <c r="Y158" s="32">
        <f t="shared" si="48"/>
        <v>0</v>
      </c>
      <c r="Z158" s="32">
        <f t="shared" si="38"/>
        <v>151505.85600000003</v>
      </c>
      <c r="AA158" s="32"/>
      <c r="AB158" s="32">
        <f t="shared" si="32"/>
        <v>57548.736000000004</v>
      </c>
      <c r="AC158" s="34">
        <f t="shared" si="39"/>
        <v>27406.560000000005</v>
      </c>
      <c r="AD158" s="8">
        <v>150520.45</v>
      </c>
      <c r="AE158" s="19">
        <v>8689.7</v>
      </c>
      <c r="AF158" s="34">
        <f>SUM(AD158:AE158)</f>
        <v>159210.15000000002</v>
      </c>
      <c r="AG158" s="32">
        <f t="shared" si="40"/>
        <v>138586.752</v>
      </c>
      <c r="AH158" s="32"/>
      <c r="AI158" s="32">
        <f t="shared" si="49"/>
        <v>1458207.252</v>
      </c>
    </row>
    <row r="159" spans="1:35" ht="15.75">
      <c r="A159" s="3" t="s">
        <v>113</v>
      </c>
      <c r="B159" s="4" t="s">
        <v>39</v>
      </c>
      <c r="C159" s="3" t="s">
        <v>111</v>
      </c>
      <c r="D159" s="26">
        <v>2640.5</v>
      </c>
      <c r="E159" s="19">
        <f t="shared" si="41"/>
        <v>11406.96</v>
      </c>
      <c r="F159" s="19">
        <f t="shared" si="42"/>
        <v>37706.34</v>
      </c>
      <c r="G159" s="19">
        <f t="shared" si="43"/>
        <v>37389.479999999996</v>
      </c>
      <c r="H159" s="19">
        <f t="shared" si="44"/>
        <v>8238.36</v>
      </c>
      <c r="I159" s="19">
        <f t="shared" si="45"/>
        <v>1901.16</v>
      </c>
      <c r="J159" s="19">
        <f t="shared" si="46"/>
        <v>5703.48</v>
      </c>
      <c r="K159" s="19">
        <f>54*6*2</f>
        <v>648</v>
      </c>
      <c r="L159" s="8">
        <f>144.73*60</f>
        <v>8683.8</v>
      </c>
      <c r="M159" s="8"/>
      <c r="N159" s="8"/>
      <c r="O159" s="24">
        <f t="shared" si="36"/>
        <v>7261.375</v>
      </c>
      <c r="P159" s="32">
        <f t="shared" si="47"/>
        <v>118938.955</v>
      </c>
      <c r="Q159" s="32">
        <f t="shared" si="50"/>
        <v>41535.065</v>
      </c>
      <c r="R159" s="34">
        <f t="shared" si="37"/>
        <v>97434.45000000001</v>
      </c>
      <c r="S159" s="19"/>
      <c r="T159" s="19"/>
      <c r="U159" s="19"/>
      <c r="V159" s="19"/>
      <c r="W159" s="19"/>
      <c r="X159" s="19">
        <v>13000</v>
      </c>
      <c r="Y159" s="32">
        <f t="shared" si="48"/>
        <v>13000</v>
      </c>
      <c r="Z159" s="32">
        <f t="shared" si="38"/>
        <v>40874.94</v>
      </c>
      <c r="AA159" s="32"/>
      <c r="AB159" s="32">
        <f aca="true" t="shared" si="51" ref="AB159:AB222">D159*0.49*12</f>
        <v>15526.14</v>
      </c>
      <c r="AC159" s="34">
        <f t="shared" si="39"/>
        <v>7395.8</v>
      </c>
      <c r="AD159" s="8">
        <v>30104.09</v>
      </c>
      <c r="AE159" s="8">
        <v>1737.94</v>
      </c>
      <c r="AF159" s="34">
        <f>SUM(AD159:AE159)</f>
        <v>31842.03</v>
      </c>
      <c r="AG159" s="32">
        <f t="shared" si="40"/>
        <v>37389.479999999996</v>
      </c>
      <c r="AH159" s="32"/>
      <c r="AI159" s="32">
        <f t="shared" si="49"/>
        <v>403936.86</v>
      </c>
    </row>
    <row r="160" spans="1:35" ht="15.75">
      <c r="A160" s="3" t="s">
        <v>113</v>
      </c>
      <c r="B160" s="4" t="s">
        <v>13</v>
      </c>
      <c r="C160" s="3" t="s">
        <v>2</v>
      </c>
      <c r="D160" s="26">
        <v>3226.8</v>
      </c>
      <c r="E160" s="19">
        <f t="shared" si="41"/>
        <v>13939.775999999998</v>
      </c>
      <c r="F160" s="19">
        <f t="shared" si="42"/>
        <v>46078.704</v>
      </c>
      <c r="G160" s="19">
        <f t="shared" si="43"/>
        <v>45691.488</v>
      </c>
      <c r="H160" s="19">
        <f t="shared" si="44"/>
        <v>10067.616000000002</v>
      </c>
      <c r="I160" s="19">
        <f t="shared" si="45"/>
        <v>2323.2960000000003</v>
      </c>
      <c r="J160" s="19">
        <f t="shared" si="46"/>
        <v>6969.887999999999</v>
      </c>
      <c r="K160" s="19">
        <f>60*8+60*6*2</f>
        <v>1200</v>
      </c>
      <c r="L160" s="8">
        <f>144.73*70</f>
        <v>10131.099999999999</v>
      </c>
      <c r="M160" s="8"/>
      <c r="N160" s="8"/>
      <c r="O160" s="24">
        <f t="shared" si="36"/>
        <v>8873.7</v>
      </c>
      <c r="P160" s="32">
        <f t="shared" si="47"/>
        <v>145275.56800000003</v>
      </c>
      <c r="Q160" s="32">
        <f t="shared" si="50"/>
        <v>50757.564</v>
      </c>
      <c r="R160" s="34">
        <f t="shared" si="37"/>
        <v>119068.92000000003</v>
      </c>
      <c r="S160" s="19"/>
      <c r="T160" s="19">
        <f>20*135</f>
        <v>2700</v>
      </c>
      <c r="U160" s="19"/>
      <c r="V160" s="19"/>
      <c r="W160" s="19"/>
      <c r="X160" s="19"/>
      <c r="Y160" s="32">
        <f t="shared" si="48"/>
        <v>2700</v>
      </c>
      <c r="Z160" s="32">
        <f t="shared" si="38"/>
        <v>49950.864</v>
      </c>
      <c r="AA160" s="32"/>
      <c r="AB160" s="32">
        <f t="shared" si="51"/>
        <v>18973.584000000003</v>
      </c>
      <c r="AC160" s="34">
        <f t="shared" si="39"/>
        <v>9037.44</v>
      </c>
      <c r="AD160" s="8"/>
      <c r="AE160" s="8"/>
      <c r="AF160" s="34"/>
      <c r="AG160" s="32">
        <f t="shared" si="40"/>
        <v>45691.488</v>
      </c>
      <c r="AH160" s="32"/>
      <c r="AI160" s="32">
        <f t="shared" si="49"/>
        <v>441455.42800000013</v>
      </c>
    </row>
    <row r="161" spans="1:35" ht="15.75">
      <c r="A161" s="3" t="s">
        <v>113</v>
      </c>
      <c r="B161" s="4" t="s">
        <v>13</v>
      </c>
      <c r="C161" s="3" t="s">
        <v>111</v>
      </c>
      <c r="D161" s="26">
        <v>3243.9</v>
      </c>
      <c r="E161" s="19">
        <f t="shared" si="41"/>
        <v>14013.648000000001</v>
      </c>
      <c r="F161" s="19">
        <f t="shared" si="42"/>
        <v>46322.892</v>
      </c>
      <c r="G161" s="19">
        <f t="shared" si="43"/>
        <v>45933.623999999996</v>
      </c>
      <c r="H161" s="19">
        <f t="shared" si="44"/>
        <v>10120.968</v>
      </c>
      <c r="I161" s="19">
        <f t="shared" si="45"/>
        <v>2335.6079999999997</v>
      </c>
      <c r="J161" s="19">
        <f t="shared" si="46"/>
        <v>7006.8240000000005</v>
      </c>
      <c r="K161" s="19">
        <f>60*6*2</f>
        <v>720</v>
      </c>
      <c r="L161" s="8">
        <f>144.73*2</f>
        <v>289.46</v>
      </c>
      <c r="M161" s="8"/>
      <c r="N161" s="8"/>
      <c r="O161" s="24">
        <f t="shared" si="36"/>
        <v>8920.725</v>
      </c>
      <c r="P161" s="32">
        <f t="shared" si="47"/>
        <v>135663.74899999998</v>
      </c>
      <c r="Q161" s="32">
        <f t="shared" si="50"/>
        <v>51026.547000000006</v>
      </c>
      <c r="R161" s="34">
        <f t="shared" si="37"/>
        <v>119699.91</v>
      </c>
      <c r="S161" s="19">
        <f>210*120</f>
        <v>25200</v>
      </c>
      <c r="T161" s="19">
        <f>20*135</f>
        <v>2700</v>
      </c>
      <c r="U161" s="19"/>
      <c r="V161" s="19"/>
      <c r="W161" s="19"/>
      <c r="X161" s="19"/>
      <c r="Y161" s="32">
        <f t="shared" si="48"/>
        <v>27900</v>
      </c>
      <c r="Z161" s="32">
        <f t="shared" si="38"/>
        <v>50215.572</v>
      </c>
      <c r="AA161" s="32"/>
      <c r="AB161" s="32">
        <f t="shared" si="51"/>
        <v>19074.131999999998</v>
      </c>
      <c r="AC161" s="34">
        <f t="shared" si="39"/>
        <v>9085.320000000002</v>
      </c>
      <c r="AD161" s="8"/>
      <c r="AE161" s="8"/>
      <c r="AF161" s="34"/>
      <c r="AG161" s="32">
        <f t="shared" si="40"/>
        <v>45933.623999999996</v>
      </c>
      <c r="AH161" s="32"/>
      <c r="AI161" s="32">
        <f t="shared" si="49"/>
        <v>458598.854</v>
      </c>
    </row>
    <row r="162" spans="1:35" ht="15.75">
      <c r="A162" s="3" t="s">
        <v>113</v>
      </c>
      <c r="B162" s="4" t="s">
        <v>15</v>
      </c>
      <c r="C162" s="3" t="s">
        <v>2</v>
      </c>
      <c r="D162" s="26">
        <v>3253.4</v>
      </c>
      <c r="E162" s="19">
        <f t="shared" si="41"/>
        <v>14054.687999999998</v>
      </c>
      <c r="F162" s="19">
        <f t="shared" si="42"/>
        <v>46458.551999999996</v>
      </c>
      <c r="G162" s="19">
        <f t="shared" si="43"/>
        <v>46068.144</v>
      </c>
      <c r="H162" s="19">
        <f t="shared" si="44"/>
        <v>10150.608</v>
      </c>
      <c r="I162" s="19">
        <f t="shared" si="45"/>
        <v>2342.4480000000003</v>
      </c>
      <c r="J162" s="19">
        <f t="shared" si="46"/>
        <v>7027.343999999999</v>
      </c>
      <c r="K162" s="19">
        <f>60*6*2</f>
        <v>720</v>
      </c>
      <c r="L162" s="8">
        <f>144.73*70</f>
        <v>10131.099999999999</v>
      </c>
      <c r="M162" s="8"/>
      <c r="N162" s="8"/>
      <c r="O162" s="24">
        <f t="shared" si="36"/>
        <v>8946.85</v>
      </c>
      <c r="P162" s="32">
        <f t="shared" si="47"/>
        <v>145899.734</v>
      </c>
      <c r="Q162" s="32">
        <f t="shared" si="50"/>
        <v>51175.982</v>
      </c>
      <c r="R162" s="34">
        <f t="shared" si="37"/>
        <v>120050.46000000002</v>
      </c>
      <c r="S162" s="19"/>
      <c r="T162" s="19"/>
      <c r="U162" s="19"/>
      <c r="V162" s="19"/>
      <c r="W162" s="19"/>
      <c r="X162" s="19"/>
      <c r="Y162" s="32">
        <f t="shared" si="48"/>
        <v>0</v>
      </c>
      <c r="Z162" s="32">
        <f t="shared" si="38"/>
        <v>50362.632000000005</v>
      </c>
      <c r="AA162" s="32"/>
      <c r="AB162" s="32">
        <f t="shared" si="51"/>
        <v>19129.992</v>
      </c>
      <c r="AC162" s="34">
        <f t="shared" si="39"/>
        <v>9111.92</v>
      </c>
      <c r="AD162" s="8"/>
      <c r="AE162" s="8"/>
      <c r="AF162" s="34"/>
      <c r="AG162" s="32">
        <f t="shared" si="40"/>
        <v>46068.144</v>
      </c>
      <c r="AH162" s="32"/>
      <c r="AI162" s="32">
        <f t="shared" si="49"/>
        <v>441798.86400000006</v>
      </c>
    </row>
    <row r="163" spans="1:35" ht="15.75">
      <c r="A163" s="3" t="s">
        <v>113</v>
      </c>
      <c r="B163" s="4" t="s">
        <v>17</v>
      </c>
      <c r="C163" s="3" t="s">
        <v>2</v>
      </c>
      <c r="D163" s="26">
        <v>15643.7</v>
      </c>
      <c r="E163" s="19">
        <f t="shared" si="41"/>
        <v>67580.784</v>
      </c>
      <c r="F163" s="19">
        <f t="shared" si="42"/>
        <v>223392.03600000002</v>
      </c>
      <c r="G163" s="19">
        <f t="shared" si="43"/>
        <v>221514.792</v>
      </c>
      <c r="H163" s="19">
        <f t="shared" si="44"/>
        <v>48808.344000000005</v>
      </c>
      <c r="I163" s="19">
        <f t="shared" si="45"/>
        <v>11263.464</v>
      </c>
      <c r="J163" s="19">
        <f t="shared" si="46"/>
        <v>33790.392</v>
      </c>
      <c r="K163" s="19">
        <f>275*6*2</f>
        <v>3300</v>
      </c>
      <c r="L163" s="8">
        <f>144.79*297</f>
        <v>43002.63</v>
      </c>
      <c r="M163" s="8">
        <f>9*142.42*1.5</f>
        <v>1922.67</v>
      </c>
      <c r="N163" s="8"/>
      <c r="O163" s="24">
        <f t="shared" si="36"/>
        <v>43020.17500000001</v>
      </c>
      <c r="P163" s="32">
        <f t="shared" si="47"/>
        <v>697595.2870000001</v>
      </c>
      <c r="Q163" s="32">
        <f t="shared" si="50"/>
        <v>246075.401</v>
      </c>
      <c r="R163" s="34">
        <f t="shared" si="37"/>
        <v>577252.5300000001</v>
      </c>
      <c r="S163" s="19"/>
      <c r="T163" s="19"/>
      <c r="U163" s="19"/>
      <c r="V163" s="19"/>
      <c r="W163" s="19"/>
      <c r="X163" s="19"/>
      <c r="Y163" s="32">
        <f t="shared" si="48"/>
        <v>0</v>
      </c>
      <c r="Z163" s="32">
        <f t="shared" si="38"/>
        <v>242164.47600000002</v>
      </c>
      <c r="AA163" s="32">
        <f>D163*1.01*5+0.96*D163*7</f>
        <v>184126.349</v>
      </c>
      <c r="AB163" s="32">
        <f t="shared" si="51"/>
        <v>91984.956</v>
      </c>
      <c r="AC163" s="34">
        <f t="shared" si="39"/>
        <v>43804.76</v>
      </c>
      <c r="AD163" s="8">
        <v>259738.51</v>
      </c>
      <c r="AE163" s="8">
        <v>15641.45</v>
      </c>
      <c r="AF163" s="34">
        <f>SUM(AD163:AE163)</f>
        <v>275379.96</v>
      </c>
      <c r="AG163" s="32">
        <f t="shared" si="40"/>
        <v>221514.792</v>
      </c>
      <c r="AH163" s="32"/>
      <c r="AI163" s="32">
        <f t="shared" si="49"/>
        <v>2579898.5110000004</v>
      </c>
    </row>
    <row r="164" spans="1:35" ht="15.75">
      <c r="A164" s="3" t="s">
        <v>113</v>
      </c>
      <c r="B164" s="4" t="s">
        <v>21</v>
      </c>
      <c r="C164" s="3" t="s">
        <v>66</v>
      </c>
      <c r="D164" s="26">
        <v>3124</v>
      </c>
      <c r="E164" s="19">
        <f t="shared" si="41"/>
        <v>13495.679999999998</v>
      </c>
      <c r="F164" s="19">
        <f t="shared" si="42"/>
        <v>44610.72</v>
      </c>
      <c r="G164" s="19">
        <f t="shared" si="43"/>
        <v>44235.84</v>
      </c>
      <c r="H164" s="19">
        <f t="shared" si="44"/>
        <v>9746.880000000001</v>
      </c>
      <c r="I164" s="19">
        <f t="shared" si="45"/>
        <v>2249.2799999999997</v>
      </c>
      <c r="J164" s="19">
        <f t="shared" si="46"/>
        <v>6747.839999999999</v>
      </c>
      <c r="K164" s="19">
        <f>144*6</f>
        <v>864</v>
      </c>
      <c r="L164" s="8">
        <f>144.79*80</f>
        <v>11583.199999999999</v>
      </c>
      <c r="M164" s="8">
        <f>2*142.42*1.5</f>
        <v>427.26</v>
      </c>
      <c r="N164" s="8"/>
      <c r="O164" s="24">
        <f t="shared" si="36"/>
        <v>8591</v>
      </c>
      <c r="P164" s="32">
        <f t="shared" si="47"/>
        <v>142551.7</v>
      </c>
      <c r="Q164" s="32">
        <f t="shared" si="50"/>
        <v>49140.520000000004</v>
      </c>
      <c r="R164" s="34">
        <f t="shared" si="37"/>
        <v>115275.6</v>
      </c>
      <c r="S164" s="19"/>
      <c r="T164" s="19"/>
      <c r="U164" s="19"/>
      <c r="V164" s="19"/>
      <c r="W164" s="19"/>
      <c r="X164" s="19">
        <v>92200</v>
      </c>
      <c r="Y164" s="32">
        <f t="shared" si="48"/>
        <v>92200</v>
      </c>
      <c r="Z164" s="32">
        <f t="shared" si="38"/>
        <v>48359.520000000004</v>
      </c>
      <c r="AA164" s="32"/>
      <c r="AB164" s="32">
        <f t="shared" si="51"/>
        <v>18369.12</v>
      </c>
      <c r="AC164" s="34">
        <f t="shared" si="39"/>
        <v>8749.6</v>
      </c>
      <c r="AD164" s="8">
        <v>60208.18</v>
      </c>
      <c r="AE164" s="8">
        <v>3475.88</v>
      </c>
      <c r="AF164" s="34">
        <f>SUM(AD164:AE164)</f>
        <v>63684.06</v>
      </c>
      <c r="AG164" s="32">
        <f t="shared" si="40"/>
        <v>44235.84</v>
      </c>
      <c r="AH164" s="32"/>
      <c r="AI164" s="32">
        <f t="shared" si="49"/>
        <v>582565.9600000001</v>
      </c>
    </row>
    <row r="165" spans="1:35" ht="15.75">
      <c r="A165" s="3" t="s">
        <v>113</v>
      </c>
      <c r="B165" s="4" t="s">
        <v>21</v>
      </c>
      <c r="C165" s="3" t="s">
        <v>111</v>
      </c>
      <c r="D165" s="27">
        <v>3148.3</v>
      </c>
      <c r="E165" s="19">
        <f t="shared" si="41"/>
        <v>13600.655999999999</v>
      </c>
      <c r="F165" s="19">
        <f t="shared" si="42"/>
        <v>44957.724</v>
      </c>
      <c r="G165" s="19">
        <f t="shared" si="43"/>
        <v>44579.928</v>
      </c>
      <c r="H165" s="19">
        <f t="shared" si="44"/>
        <v>9822.696000000002</v>
      </c>
      <c r="I165" s="19">
        <f t="shared" si="45"/>
        <v>2266.776</v>
      </c>
      <c r="J165" s="19">
        <f t="shared" si="46"/>
        <v>6800.3279999999995</v>
      </c>
      <c r="K165" s="19">
        <f>108*6</f>
        <v>648</v>
      </c>
      <c r="L165" s="8">
        <f>144.79*62</f>
        <v>8976.98</v>
      </c>
      <c r="M165" s="8">
        <f>2*142.42*1.5</f>
        <v>427.26</v>
      </c>
      <c r="N165" s="8"/>
      <c r="O165" s="24">
        <f t="shared" si="36"/>
        <v>8657.825</v>
      </c>
      <c r="P165" s="32">
        <f t="shared" si="47"/>
        <v>140738.173</v>
      </c>
      <c r="Q165" s="32">
        <f t="shared" si="50"/>
        <v>49522.759000000005</v>
      </c>
      <c r="R165" s="34">
        <f t="shared" si="37"/>
        <v>116172.27000000002</v>
      </c>
      <c r="S165" s="19"/>
      <c r="T165" s="19"/>
      <c r="U165" s="19"/>
      <c r="V165" s="19"/>
      <c r="W165" s="19"/>
      <c r="X165" s="19">
        <v>57200</v>
      </c>
      <c r="Y165" s="32">
        <f t="shared" si="48"/>
        <v>57200</v>
      </c>
      <c r="Z165" s="32">
        <f t="shared" si="38"/>
        <v>48735.684</v>
      </c>
      <c r="AA165" s="32"/>
      <c r="AB165" s="32">
        <f t="shared" si="51"/>
        <v>18512.004</v>
      </c>
      <c r="AC165" s="34">
        <f t="shared" si="39"/>
        <v>8817.640000000001</v>
      </c>
      <c r="AD165" s="8">
        <v>60208.18</v>
      </c>
      <c r="AE165" s="8">
        <v>3475.88</v>
      </c>
      <c r="AF165" s="34">
        <f>SUM(AD165:AE165)</f>
        <v>63684.06</v>
      </c>
      <c r="AG165" s="32">
        <f t="shared" si="40"/>
        <v>44579.928</v>
      </c>
      <c r="AH165" s="32"/>
      <c r="AI165" s="32">
        <f t="shared" si="49"/>
        <v>547962.518</v>
      </c>
    </row>
    <row r="166" spans="1:35" ht="15.75">
      <c r="A166" s="3" t="s">
        <v>113</v>
      </c>
      <c r="B166" s="4" t="s">
        <v>21</v>
      </c>
      <c r="C166" s="3" t="s">
        <v>114</v>
      </c>
      <c r="D166" s="27">
        <v>1563.4</v>
      </c>
      <c r="E166" s="19">
        <f t="shared" si="41"/>
        <v>6753.887999999999</v>
      </c>
      <c r="F166" s="19">
        <f t="shared" si="42"/>
        <v>22325.352</v>
      </c>
      <c r="G166" s="19">
        <f t="shared" si="43"/>
        <v>22137.744</v>
      </c>
      <c r="H166" s="19">
        <f t="shared" si="44"/>
        <v>4877.808000000001</v>
      </c>
      <c r="I166" s="19">
        <f t="shared" si="45"/>
        <v>1125.6480000000001</v>
      </c>
      <c r="J166" s="19">
        <f t="shared" si="46"/>
        <v>3376.9439999999995</v>
      </c>
      <c r="K166" s="19">
        <f>72*6</f>
        <v>432</v>
      </c>
      <c r="L166" s="8">
        <f>144.79*42</f>
        <v>6081.179999999999</v>
      </c>
      <c r="M166" s="8">
        <f>1*142.42*1.5</f>
        <v>213.63</v>
      </c>
      <c r="N166" s="8"/>
      <c r="O166" s="24">
        <f t="shared" si="36"/>
        <v>4299.35</v>
      </c>
      <c r="P166" s="32">
        <f t="shared" si="47"/>
        <v>71623.54400000001</v>
      </c>
      <c r="Q166" s="32">
        <f t="shared" si="50"/>
        <v>24592.282000000003</v>
      </c>
      <c r="R166" s="34">
        <f t="shared" si="37"/>
        <v>57689.460000000014</v>
      </c>
      <c r="S166" s="19"/>
      <c r="T166" s="19"/>
      <c r="U166" s="19"/>
      <c r="V166" s="19"/>
      <c r="W166" s="19"/>
      <c r="X166" s="19">
        <v>128200</v>
      </c>
      <c r="Y166" s="32">
        <f t="shared" si="48"/>
        <v>128200</v>
      </c>
      <c r="Z166" s="32">
        <f t="shared" si="38"/>
        <v>24201.432000000004</v>
      </c>
      <c r="AA166" s="32"/>
      <c r="AB166" s="32">
        <f t="shared" si="51"/>
        <v>9192.792000000001</v>
      </c>
      <c r="AC166" s="34">
        <f t="shared" si="39"/>
        <v>4379.92</v>
      </c>
      <c r="AD166" s="8">
        <v>30104.09</v>
      </c>
      <c r="AE166" s="8">
        <v>1737.94</v>
      </c>
      <c r="AF166" s="34">
        <f>SUM(AD166:AE166)</f>
        <v>31842.03</v>
      </c>
      <c r="AG166" s="32">
        <f t="shared" si="40"/>
        <v>22137.744</v>
      </c>
      <c r="AH166" s="32"/>
      <c r="AI166" s="32">
        <f t="shared" si="49"/>
        <v>373859.2040000001</v>
      </c>
    </row>
    <row r="167" spans="1:35" ht="15.75">
      <c r="A167" s="3" t="s">
        <v>113</v>
      </c>
      <c r="B167" s="4" t="s">
        <v>84</v>
      </c>
      <c r="C167" s="3" t="s">
        <v>66</v>
      </c>
      <c r="D167" s="27">
        <v>17400.5</v>
      </c>
      <c r="E167" s="19">
        <f t="shared" si="41"/>
        <v>75170.15999999999</v>
      </c>
      <c r="F167" s="19">
        <f t="shared" si="42"/>
        <v>248479.13999999996</v>
      </c>
      <c r="G167" s="19">
        <f t="shared" si="43"/>
        <v>246391.08000000002</v>
      </c>
      <c r="H167" s="19">
        <f t="shared" si="44"/>
        <v>54289.56</v>
      </c>
      <c r="I167" s="19">
        <f t="shared" si="45"/>
        <v>12528.36</v>
      </c>
      <c r="J167" s="19">
        <f t="shared" si="46"/>
        <v>37585.079999999994</v>
      </c>
      <c r="K167" s="19">
        <f>358*6*2</f>
        <v>4296</v>
      </c>
      <c r="L167" s="8">
        <f>144.73*2</f>
        <v>289.46</v>
      </c>
      <c r="M167" s="8">
        <f>10*142.42*1.5</f>
        <v>2136.2999999999997</v>
      </c>
      <c r="N167" s="8"/>
      <c r="O167" s="24">
        <f t="shared" si="36"/>
        <v>47851.37500000001</v>
      </c>
      <c r="P167" s="32">
        <f t="shared" si="47"/>
        <v>729016.5149999999</v>
      </c>
      <c r="Q167" s="32">
        <f t="shared" si="50"/>
        <v>273709.865</v>
      </c>
      <c r="R167" s="34">
        <f t="shared" si="37"/>
        <v>642078.45</v>
      </c>
      <c r="S167" s="19">
        <f>150*120</f>
        <v>18000</v>
      </c>
      <c r="T167" s="19"/>
      <c r="U167" s="19"/>
      <c r="V167" s="19"/>
      <c r="W167" s="19"/>
      <c r="X167" s="19"/>
      <c r="Y167" s="32">
        <f t="shared" si="48"/>
        <v>18000</v>
      </c>
      <c r="Z167" s="32">
        <f t="shared" si="38"/>
        <v>269359.74</v>
      </c>
      <c r="AA167" s="32">
        <f>D167*1.01*5+0.96*D167*7</f>
        <v>204803.885</v>
      </c>
      <c r="AB167" s="32">
        <f t="shared" si="51"/>
        <v>102314.93999999999</v>
      </c>
      <c r="AC167" s="34">
        <f t="shared" si="39"/>
        <v>48723.80000000001</v>
      </c>
      <c r="AD167" s="8">
        <v>301040.89</v>
      </c>
      <c r="AE167" s="19">
        <v>17379.4</v>
      </c>
      <c r="AF167" s="34">
        <f>SUM(AD167:AE167)</f>
        <v>318420.29000000004</v>
      </c>
      <c r="AG167" s="32">
        <f t="shared" si="40"/>
        <v>246391.08000000002</v>
      </c>
      <c r="AH167" s="32"/>
      <c r="AI167" s="32">
        <f t="shared" si="49"/>
        <v>2852818.565</v>
      </c>
    </row>
    <row r="168" spans="1:35" ht="15.75">
      <c r="A168" s="3" t="s">
        <v>113</v>
      </c>
      <c r="B168" s="4" t="s">
        <v>84</v>
      </c>
      <c r="C168" s="3" t="s">
        <v>111</v>
      </c>
      <c r="D168" s="27">
        <v>3444</v>
      </c>
      <c r="E168" s="19">
        <f t="shared" si="41"/>
        <v>14878.079999999998</v>
      </c>
      <c r="F168" s="19">
        <f t="shared" si="42"/>
        <v>49180.31999999999</v>
      </c>
      <c r="G168" s="19">
        <f t="shared" si="43"/>
        <v>48767.03999999999</v>
      </c>
      <c r="H168" s="19">
        <f t="shared" si="44"/>
        <v>10745.28</v>
      </c>
      <c r="I168" s="19">
        <f t="shared" si="45"/>
        <v>2479.68</v>
      </c>
      <c r="J168" s="19">
        <f t="shared" si="46"/>
        <v>7439.039999999999</v>
      </c>
      <c r="K168" s="19">
        <f>75*6*2</f>
        <v>900</v>
      </c>
      <c r="L168" s="8">
        <f>144.79*87</f>
        <v>12596.73</v>
      </c>
      <c r="M168" s="8"/>
      <c r="N168" s="8"/>
      <c r="O168" s="24">
        <f t="shared" si="36"/>
        <v>9471</v>
      </c>
      <c r="P168" s="32">
        <f t="shared" si="47"/>
        <v>156457.16999999998</v>
      </c>
      <c r="Q168" s="32">
        <f t="shared" si="50"/>
        <v>54174.12</v>
      </c>
      <c r="R168" s="34">
        <f t="shared" si="37"/>
        <v>127083.6</v>
      </c>
      <c r="S168" s="19"/>
      <c r="T168" s="19"/>
      <c r="U168" s="19"/>
      <c r="V168" s="19"/>
      <c r="W168" s="19"/>
      <c r="X168" s="19">
        <v>88200</v>
      </c>
      <c r="Y168" s="32">
        <f t="shared" si="48"/>
        <v>88200</v>
      </c>
      <c r="Z168" s="32">
        <f t="shared" si="38"/>
        <v>53313.12</v>
      </c>
      <c r="AA168" s="32"/>
      <c r="AB168" s="32">
        <f t="shared" si="51"/>
        <v>20250.72</v>
      </c>
      <c r="AC168" s="34">
        <f t="shared" si="39"/>
        <v>9645.6</v>
      </c>
      <c r="AD168" s="8"/>
      <c r="AE168" s="8"/>
      <c r="AF168" s="34"/>
      <c r="AG168" s="32">
        <f t="shared" si="40"/>
        <v>48767.03999999999</v>
      </c>
      <c r="AH168" s="32"/>
      <c r="AI168" s="32">
        <f t="shared" si="49"/>
        <v>557891.37</v>
      </c>
    </row>
    <row r="169" spans="1:35" ht="15.75">
      <c r="A169" s="3" t="s">
        <v>113</v>
      </c>
      <c r="B169" s="4" t="s">
        <v>84</v>
      </c>
      <c r="C169" s="3" t="s">
        <v>114</v>
      </c>
      <c r="D169" s="26">
        <v>3498.3</v>
      </c>
      <c r="E169" s="19">
        <f t="shared" si="41"/>
        <v>15112.655999999999</v>
      </c>
      <c r="F169" s="19">
        <f t="shared" si="42"/>
        <v>49955.724</v>
      </c>
      <c r="G169" s="19">
        <f t="shared" si="43"/>
        <v>49535.928</v>
      </c>
      <c r="H169" s="19">
        <f t="shared" si="44"/>
        <v>10914.696000000002</v>
      </c>
      <c r="I169" s="19">
        <f t="shared" si="45"/>
        <v>2518.776</v>
      </c>
      <c r="J169" s="19">
        <f t="shared" si="46"/>
        <v>7556.3279999999995</v>
      </c>
      <c r="K169" s="19">
        <f>75*6*2</f>
        <v>900</v>
      </c>
      <c r="L169" s="8">
        <f>144.79*87</f>
        <v>12596.73</v>
      </c>
      <c r="M169" s="8"/>
      <c r="N169" s="8"/>
      <c r="O169" s="24">
        <f t="shared" si="36"/>
        <v>9620.325</v>
      </c>
      <c r="P169" s="32">
        <f t="shared" si="47"/>
        <v>158711.16300000003</v>
      </c>
      <c r="Q169" s="32">
        <f t="shared" si="50"/>
        <v>55028.259000000005</v>
      </c>
      <c r="R169" s="34">
        <f t="shared" si="37"/>
        <v>129087.27000000002</v>
      </c>
      <c r="S169" s="19"/>
      <c r="T169" s="19"/>
      <c r="U169" s="19"/>
      <c r="V169" s="19"/>
      <c r="W169" s="19"/>
      <c r="X169" s="19"/>
      <c r="Y169" s="32">
        <f t="shared" si="48"/>
        <v>0</v>
      </c>
      <c r="Z169" s="32">
        <f t="shared" si="38"/>
        <v>54153.68400000001</v>
      </c>
      <c r="AA169" s="32"/>
      <c r="AB169" s="32">
        <f t="shared" si="51"/>
        <v>20570.004</v>
      </c>
      <c r="AC169" s="34">
        <f t="shared" si="39"/>
        <v>9797.640000000001</v>
      </c>
      <c r="AD169" s="8"/>
      <c r="AE169" s="8"/>
      <c r="AF169" s="34"/>
      <c r="AG169" s="32">
        <f t="shared" si="40"/>
        <v>49535.928</v>
      </c>
      <c r="AH169" s="32"/>
      <c r="AI169" s="32">
        <f t="shared" si="49"/>
        <v>476883.9480000001</v>
      </c>
    </row>
    <row r="170" spans="1:35" ht="15.75">
      <c r="A170" s="3" t="s">
        <v>113</v>
      </c>
      <c r="B170" s="4" t="s">
        <v>115</v>
      </c>
      <c r="C170" s="3" t="s">
        <v>111</v>
      </c>
      <c r="D170" s="26">
        <v>14099.8</v>
      </c>
      <c r="E170" s="19">
        <f t="shared" si="41"/>
        <v>60911.136</v>
      </c>
      <c r="F170" s="19">
        <f t="shared" si="42"/>
        <v>201345.14399999997</v>
      </c>
      <c r="G170" s="19">
        <f t="shared" si="43"/>
        <v>199653.168</v>
      </c>
      <c r="H170" s="19">
        <f t="shared" si="44"/>
        <v>43991.376</v>
      </c>
      <c r="I170" s="19">
        <f t="shared" si="45"/>
        <v>10151.856</v>
      </c>
      <c r="J170" s="19">
        <f t="shared" si="46"/>
        <v>30455.568</v>
      </c>
      <c r="K170" s="19">
        <f>287*6*2</f>
        <v>3444</v>
      </c>
      <c r="L170" s="8">
        <f>144.73*2</f>
        <v>289.46</v>
      </c>
      <c r="M170" s="8">
        <f>8*142.42*1.5</f>
        <v>1709.04</v>
      </c>
      <c r="N170" s="8"/>
      <c r="O170" s="24">
        <f t="shared" si="36"/>
        <v>38774.450000000004</v>
      </c>
      <c r="P170" s="32">
        <f t="shared" si="47"/>
        <v>590725.1979999999</v>
      </c>
      <c r="Q170" s="32">
        <f t="shared" si="50"/>
        <v>221789.854</v>
      </c>
      <c r="R170" s="34">
        <f t="shared" si="37"/>
        <v>520282.61999999994</v>
      </c>
      <c r="S170" s="19">
        <f>165*120</f>
        <v>19800</v>
      </c>
      <c r="T170" s="19">
        <f>350*135</f>
        <v>47250</v>
      </c>
      <c r="U170" s="19"/>
      <c r="V170" s="19"/>
      <c r="W170" s="19"/>
      <c r="X170" s="19"/>
      <c r="Y170" s="32">
        <f t="shared" si="48"/>
        <v>67050</v>
      </c>
      <c r="Z170" s="32">
        <f t="shared" si="38"/>
        <v>218264.90399999998</v>
      </c>
      <c r="AA170" s="32">
        <f>D170*1.01*5+0.96*D170*7</f>
        <v>165954.64599999998</v>
      </c>
      <c r="AB170" s="32">
        <f t="shared" si="51"/>
        <v>82906.824</v>
      </c>
      <c r="AC170" s="34">
        <f t="shared" si="39"/>
        <v>39481.840000000004</v>
      </c>
      <c r="AD170" s="8">
        <v>240832.71</v>
      </c>
      <c r="AE170" s="8">
        <v>13903.52</v>
      </c>
      <c r="AF170" s="34">
        <f>SUM(AD170:AE170)</f>
        <v>254736.22999999998</v>
      </c>
      <c r="AG170" s="32">
        <f t="shared" si="40"/>
        <v>199653.168</v>
      </c>
      <c r="AH170" s="32"/>
      <c r="AI170" s="32">
        <f t="shared" si="49"/>
        <v>2360845.284</v>
      </c>
    </row>
    <row r="171" spans="1:35" ht="15.75">
      <c r="A171" s="3" t="s">
        <v>113</v>
      </c>
      <c r="B171" s="4" t="s">
        <v>27</v>
      </c>
      <c r="C171" s="3" t="s">
        <v>66</v>
      </c>
      <c r="D171" s="26">
        <v>2152.2</v>
      </c>
      <c r="E171" s="19">
        <f t="shared" si="41"/>
        <v>9297.503999999999</v>
      </c>
      <c r="F171" s="19">
        <f t="shared" si="42"/>
        <v>30733.415999999994</v>
      </c>
      <c r="G171" s="19">
        <f t="shared" si="43"/>
        <v>30475.151999999995</v>
      </c>
      <c r="H171" s="19">
        <f t="shared" si="44"/>
        <v>6714.864</v>
      </c>
      <c r="I171" s="19">
        <f t="shared" si="45"/>
        <v>1549.5839999999998</v>
      </c>
      <c r="J171" s="19">
        <f t="shared" si="46"/>
        <v>4648.7519999999995</v>
      </c>
      <c r="K171" s="19">
        <f>72*6</f>
        <v>432</v>
      </c>
      <c r="L171" s="8">
        <f>144.73*42</f>
        <v>6078.66</v>
      </c>
      <c r="M171" s="8">
        <f>1*142.42*1.5</f>
        <v>213.63</v>
      </c>
      <c r="N171" s="8"/>
      <c r="O171" s="24">
        <f t="shared" si="36"/>
        <v>5918.55</v>
      </c>
      <c r="P171" s="32">
        <f t="shared" si="47"/>
        <v>96062.112</v>
      </c>
      <c r="Q171" s="32">
        <f t="shared" si="50"/>
        <v>33854.106</v>
      </c>
      <c r="R171" s="34">
        <f t="shared" si="37"/>
        <v>79416.18</v>
      </c>
      <c r="S171" s="19"/>
      <c r="T171" s="19"/>
      <c r="U171" s="19"/>
      <c r="V171" s="19"/>
      <c r="W171" s="19"/>
      <c r="X171" s="19">
        <v>63300</v>
      </c>
      <c r="Y171" s="32">
        <f t="shared" si="48"/>
        <v>63300</v>
      </c>
      <c r="Z171" s="32">
        <f t="shared" si="38"/>
        <v>33316.056</v>
      </c>
      <c r="AA171" s="32"/>
      <c r="AB171" s="32">
        <f t="shared" si="51"/>
        <v>12654.936</v>
      </c>
      <c r="AC171" s="34">
        <f t="shared" si="39"/>
        <v>6028.5599999999995</v>
      </c>
      <c r="AD171" s="8">
        <v>30104.09</v>
      </c>
      <c r="AE171" s="8">
        <v>1737.94</v>
      </c>
      <c r="AF171" s="34">
        <f>SUM(AD171:AE171)</f>
        <v>31842.03</v>
      </c>
      <c r="AG171" s="32">
        <f t="shared" si="40"/>
        <v>30475.151999999995</v>
      </c>
      <c r="AH171" s="32"/>
      <c r="AI171" s="32">
        <f t="shared" si="49"/>
        <v>386949.132</v>
      </c>
    </row>
    <row r="172" spans="1:35" ht="15.75">
      <c r="A172" s="3" t="s">
        <v>113</v>
      </c>
      <c r="B172" s="4" t="s">
        <v>27</v>
      </c>
      <c r="C172" s="3" t="s">
        <v>111</v>
      </c>
      <c r="D172" s="26">
        <v>1580.5</v>
      </c>
      <c r="E172" s="19">
        <f t="shared" si="41"/>
        <v>6827.76</v>
      </c>
      <c r="F172" s="19">
        <f t="shared" si="42"/>
        <v>22569.539999999997</v>
      </c>
      <c r="G172" s="19">
        <f t="shared" si="43"/>
        <v>22379.88</v>
      </c>
      <c r="H172" s="19">
        <f t="shared" si="44"/>
        <v>4931.16</v>
      </c>
      <c r="I172" s="19">
        <f t="shared" si="45"/>
        <v>1137.96</v>
      </c>
      <c r="J172" s="19">
        <f t="shared" si="46"/>
        <v>3413.88</v>
      </c>
      <c r="K172" s="19">
        <f>72*6</f>
        <v>432</v>
      </c>
      <c r="L172" s="8">
        <f>144.73*42</f>
        <v>6078.66</v>
      </c>
      <c r="M172" s="8">
        <f>1*142.42*1.5</f>
        <v>213.63</v>
      </c>
      <c r="N172" s="8"/>
      <c r="O172" s="24">
        <f t="shared" si="36"/>
        <v>4346.375</v>
      </c>
      <c r="P172" s="32">
        <f t="shared" si="47"/>
        <v>72330.845</v>
      </c>
      <c r="Q172" s="32">
        <f t="shared" si="50"/>
        <v>24861.265000000003</v>
      </c>
      <c r="R172" s="34">
        <f t="shared" si="37"/>
        <v>58320.450000000004</v>
      </c>
      <c r="S172" s="19"/>
      <c r="T172" s="19"/>
      <c r="U172" s="19"/>
      <c r="V172" s="19"/>
      <c r="W172" s="19"/>
      <c r="X172" s="19"/>
      <c r="Y172" s="32">
        <f t="shared" si="48"/>
        <v>0</v>
      </c>
      <c r="Z172" s="32">
        <f t="shared" si="38"/>
        <v>24466.14</v>
      </c>
      <c r="AA172" s="32"/>
      <c r="AB172" s="32">
        <f t="shared" si="51"/>
        <v>9293.34</v>
      </c>
      <c r="AC172" s="34">
        <f t="shared" si="39"/>
        <v>4427.8</v>
      </c>
      <c r="AD172" s="8">
        <v>30104.09</v>
      </c>
      <c r="AE172" s="8">
        <v>1737.94</v>
      </c>
      <c r="AF172" s="34">
        <f>SUM(AD172:AE172)</f>
        <v>31842.03</v>
      </c>
      <c r="AG172" s="32">
        <f t="shared" si="40"/>
        <v>22379.88</v>
      </c>
      <c r="AH172" s="32"/>
      <c r="AI172" s="32">
        <f t="shared" si="49"/>
        <v>247921.75</v>
      </c>
    </row>
    <row r="173" spans="1:35" ht="15.75">
      <c r="A173" s="5" t="s">
        <v>113</v>
      </c>
      <c r="B173" s="5" t="s">
        <v>27</v>
      </c>
      <c r="C173" s="5" t="s">
        <v>114</v>
      </c>
      <c r="D173" s="26">
        <v>4137.9</v>
      </c>
      <c r="E173" s="19">
        <f t="shared" si="41"/>
        <v>17875.727999999996</v>
      </c>
      <c r="F173" s="19">
        <f t="shared" si="42"/>
        <v>59089.212</v>
      </c>
      <c r="G173" s="19">
        <f t="shared" si="43"/>
        <v>58592.664</v>
      </c>
      <c r="H173" s="19">
        <f t="shared" si="44"/>
        <v>12910.248</v>
      </c>
      <c r="I173" s="19">
        <f t="shared" si="45"/>
        <v>2979.2879999999996</v>
      </c>
      <c r="J173" s="19">
        <f t="shared" si="46"/>
        <v>8937.863999999998</v>
      </c>
      <c r="K173" s="19">
        <f>72*6*2</f>
        <v>864</v>
      </c>
      <c r="L173" s="8">
        <f>144.73*2</f>
        <v>289.46</v>
      </c>
      <c r="M173" s="8"/>
      <c r="N173" s="8"/>
      <c r="O173" s="24">
        <f t="shared" si="36"/>
        <v>11379.224999999999</v>
      </c>
      <c r="P173" s="32">
        <f t="shared" si="47"/>
        <v>172917.68899999998</v>
      </c>
      <c r="Q173" s="32">
        <f t="shared" si="50"/>
        <v>65089.167</v>
      </c>
      <c r="R173" s="34">
        <f t="shared" si="37"/>
        <v>152688.51</v>
      </c>
      <c r="S173" s="19"/>
      <c r="T173" s="19"/>
      <c r="U173" s="19"/>
      <c r="V173" s="19"/>
      <c r="W173" s="19"/>
      <c r="X173" s="19"/>
      <c r="Y173" s="32">
        <f t="shared" si="48"/>
        <v>0</v>
      </c>
      <c r="Z173" s="32">
        <f t="shared" si="38"/>
        <v>64054.691999999995</v>
      </c>
      <c r="AA173" s="32"/>
      <c r="AB173" s="32">
        <f t="shared" si="51"/>
        <v>24330.851999999995</v>
      </c>
      <c r="AC173" s="34">
        <f t="shared" si="39"/>
        <v>11588.519999999999</v>
      </c>
      <c r="AD173" s="8">
        <v>60208.18</v>
      </c>
      <c r="AE173" s="8">
        <v>3475.88</v>
      </c>
      <c r="AF173" s="34">
        <f>SUM(AD173:AE173)</f>
        <v>63684.06</v>
      </c>
      <c r="AG173" s="32">
        <f t="shared" si="40"/>
        <v>58592.664</v>
      </c>
      <c r="AH173" s="32"/>
      <c r="AI173" s="32">
        <f t="shared" si="49"/>
        <v>612946.154</v>
      </c>
    </row>
    <row r="174" spans="1:35" ht="15.75">
      <c r="A174" s="3" t="s">
        <v>113</v>
      </c>
      <c r="B174" s="4" t="s">
        <v>28</v>
      </c>
      <c r="C174" s="3" t="s">
        <v>114</v>
      </c>
      <c r="D174" s="26">
        <v>3468.1</v>
      </c>
      <c r="E174" s="19">
        <f t="shared" si="41"/>
        <v>14982.192</v>
      </c>
      <c r="F174" s="19">
        <f t="shared" si="42"/>
        <v>49524.46799999999</v>
      </c>
      <c r="G174" s="19">
        <f t="shared" si="43"/>
        <v>49108.295999999995</v>
      </c>
      <c r="H174" s="19">
        <f t="shared" si="44"/>
        <v>10820.472</v>
      </c>
      <c r="I174" s="19">
        <f t="shared" si="45"/>
        <v>2497.0319999999997</v>
      </c>
      <c r="J174" s="19">
        <f t="shared" si="46"/>
        <v>7491.096</v>
      </c>
      <c r="K174" s="19">
        <f>74*6*2</f>
        <v>888</v>
      </c>
      <c r="L174" s="8">
        <f>144.73*87</f>
        <v>12591.509999999998</v>
      </c>
      <c r="M174" s="8"/>
      <c r="N174" s="8"/>
      <c r="O174" s="24">
        <f t="shared" si="36"/>
        <v>9537.275000000001</v>
      </c>
      <c r="P174" s="32">
        <f t="shared" si="47"/>
        <v>157440.341</v>
      </c>
      <c r="Q174" s="32">
        <f t="shared" si="50"/>
        <v>54553.213</v>
      </c>
      <c r="R174" s="34">
        <f t="shared" si="37"/>
        <v>127972.89</v>
      </c>
      <c r="S174" s="19"/>
      <c r="T174" s="19"/>
      <c r="U174" s="19"/>
      <c r="V174" s="19"/>
      <c r="W174" s="19"/>
      <c r="X174" s="19">
        <v>50000</v>
      </c>
      <c r="Y174" s="32">
        <f t="shared" si="48"/>
        <v>50000</v>
      </c>
      <c r="Z174" s="32">
        <f t="shared" si="38"/>
        <v>53686.188</v>
      </c>
      <c r="AA174" s="32"/>
      <c r="AB174" s="32">
        <f t="shared" si="51"/>
        <v>20392.428</v>
      </c>
      <c r="AC174" s="34">
        <f t="shared" si="39"/>
        <v>9713.08</v>
      </c>
      <c r="AD174" s="8"/>
      <c r="AE174" s="8"/>
      <c r="AF174" s="34"/>
      <c r="AG174" s="32">
        <f t="shared" si="40"/>
        <v>49108.295999999995</v>
      </c>
      <c r="AH174" s="32"/>
      <c r="AI174" s="32">
        <f t="shared" si="49"/>
        <v>522866.43600000005</v>
      </c>
    </row>
    <row r="175" spans="1:35" ht="15.75">
      <c r="A175" s="3" t="s">
        <v>113</v>
      </c>
      <c r="B175" s="4" t="s">
        <v>116</v>
      </c>
      <c r="C175" s="3" t="s">
        <v>2</v>
      </c>
      <c r="D175" s="26">
        <v>3750.7</v>
      </c>
      <c r="E175" s="19">
        <f t="shared" si="41"/>
        <v>16203.024</v>
      </c>
      <c r="F175" s="19">
        <f t="shared" si="42"/>
        <v>53559.996</v>
      </c>
      <c r="G175" s="19">
        <f t="shared" si="43"/>
        <v>53109.91199999999</v>
      </c>
      <c r="H175" s="19">
        <f t="shared" si="44"/>
        <v>11702.184000000001</v>
      </c>
      <c r="I175" s="19">
        <f t="shared" si="45"/>
        <v>2700.504</v>
      </c>
      <c r="J175" s="19">
        <f t="shared" si="46"/>
        <v>8101.512</v>
      </c>
      <c r="K175" s="19">
        <f>140*6</f>
        <v>840</v>
      </c>
      <c r="L175" s="8">
        <f>144.73*80</f>
        <v>11578.4</v>
      </c>
      <c r="M175" s="8">
        <f>2*142.42*1.5</f>
        <v>427.26</v>
      </c>
      <c r="N175" s="8"/>
      <c r="O175" s="24">
        <f t="shared" si="36"/>
        <v>10314.425000000001</v>
      </c>
      <c r="P175" s="32">
        <f t="shared" si="47"/>
        <v>168537.21699999998</v>
      </c>
      <c r="Q175" s="32">
        <f t="shared" si="50"/>
        <v>58998.511</v>
      </c>
      <c r="R175" s="34">
        <f t="shared" si="37"/>
        <v>138400.83</v>
      </c>
      <c r="S175" s="19"/>
      <c r="T175" s="19"/>
      <c r="U175" s="19"/>
      <c r="V175" s="19"/>
      <c r="W175" s="19"/>
      <c r="X175" s="19">
        <v>101300</v>
      </c>
      <c r="Y175" s="32">
        <f t="shared" si="48"/>
        <v>101300</v>
      </c>
      <c r="Z175" s="32">
        <f t="shared" si="38"/>
        <v>58060.836</v>
      </c>
      <c r="AA175" s="32"/>
      <c r="AB175" s="32">
        <f t="shared" si="51"/>
        <v>22054.115999999998</v>
      </c>
      <c r="AC175" s="34">
        <f t="shared" si="39"/>
        <v>10504.359999999999</v>
      </c>
      <c r="AD175" s="8">
        <v>60208.18</v>
      </c>
      <c r="AE175" s="8">
        <v>3475.88</v>
      </c>
      <c r="AF175" s="34">
        <f>SUM(AD175:AE175)</f>
        <v>63684.06</v>
      </c>
      <c r="AG175" s="32">
        <f t="shared" si="40"/>
        <v>53109.91199999999</v>
      </c>
      <c r="AH175" s="32">
        <v>57500</v>
      </c>
      <c r="AI175" s="32">
        <f t="shared" si="49"/>
        <v>732149.842</v>
      </c>
    </row>
    <row r="176" spans="1:35" ht="15.75">
      <c r="A176" s="3" t="s">
        <v>113</v>
      </c>
      <c r="B176" s="4" t="s">
        <v>51</v>
      </c>
      <c r="C176" s="3" t="s">
        <v>66</v>
      </c>
      <c r="D176" s="26">
        <v>16013.7</v>
      </c>
      <c r="E176" s="19">
        <f t="shared" si="41"/>
        <v>69179.184</v>
      </c>
      <c r="F176" s="19">
        <f t="shared" si="42"/>
        <v>228675.636</v>
      </c>
      <c r="G176" s="19">
        <f t="shared" si="43"/>
        <v>226753.99200000003</v>
      </c>
      <c r="H176" s="19">
        <f t="shared" si="44"/>
        <v>49962.744</v>
      </c>
      <c r="I176" s="19">
        <f t="shared" si="45"/>
        <v>11529.864</v>
      </c>
      <c r="J176" s="19">
        <f t="shared" si="46"/>
        <v>34589.592</v>
      </c>
      <c r="K176" s="19">
        <f>323*6*2</f>
        <v>3876</v>
      </c>
      <c r="L176" s="8">
        <f>144.73*2</f>
        <v>289.46</v>
      </c>
      <c r="M176" s="8">
        <f>9*142.42*1.5</f>
        <v>1922.67</v>
      </c>
      <c r="N176" s="8"/>
      <c r="O176" s="24">
        <f t="shared" si="36"/>
        <v>44037.67500000001</v>
      </c>
      <c r="P176" s="32">
        <f t="shared" si="47"/>
        <v>670816.8169999999</v>
      </c>
      <c r="Q176" s="32">
        <f t="shared" si="50"/>
        <v>251895.50100000005</v>
      </c>
      <c r="R176" s="34">
        <f t="shared" si="37"/>
        <v>590905.53</v>
      </c>
      <c r="S176" s="19"/>
      <c r="T176" s="19"/>
      <c r="U176" s="19"/>
      <c r="V176" s="19"/>
      <c r="W176" s="19"/>
      <c r="X176" s="19">
        <v>194200</v>
      </c>
      <c r="Y176" s="32">
        <f t="shared" si="48"/>
        <v>194200</v>
      </c>
      <c r="Z176" s="32">
        <f t="shared" si="38"/>
        <v>247892.07600000003</v>
      </c>
      <c r="AA176" s="32">
        <f>D176*1.01*5+0.96*D176*7</f>
        <v>188481.249</v>
      </c>
      <c r="AB176" s="32">
        <f t="shared" si="51"/>
        <v>94160.55600000001</v>
      </c>
      <c r="AC176" s="34">
        <f t="shared" si="39"/>
        <v>44840.76</v>
      </c>
      <c r="AD176" s="8">
        <v>270936.8</v>
      </c>
      <c r="AE176" s="8">
        <v>15641.45</v>
      </c>
      <c r="AF176" s="34">
        <f>SUM(AD176:AE176)</f>
        <v>286578.25</v>
      </c>
      <c r="AG176" s="32">
        <f t="shared" si="40"/>
        <v>226753.99200000003</v>
      </c>
      <c r="AH176" s="32"/>
      <c r="AI176" s="32">
        <f t="shared" si="49"/>
        <v>2796524.7309999997</v>
      </c>
    </row>
    <row r="177" spans="1:35" ht="15.75">
      <c r="A177" s="3" t="s">
        <v>117</v>
      </c>
      <c r="B177" s="4" t="s">
        <v>44</v>
      </c>
      <c r="C177" s="3" t="s">
        <v>2</v>
      </c>
      <c r="D177" s="26">
        <v>5800.5</v>
      </c>
      <c r="E177" s="19">
        <f t="shared" si="41"/>
        <v>25058.159999999996</v>
      </c>
      <c r="F177" s="19">
        <f t="shared" si="42"/>
        <v>82831.13999999998</v>
      </c>
      <c r="G177" s="19">
        <f t="shared" si="43"/>
        <v>82135.07999999999</v>
      </c>
      <c r="H177" s="19">
        <f t="shared" si="44"/>
        <v>18097.56</v>
      </c>
      <c r="I177" s="19">
        <f t="shared" si="45"/>
        <v>4176.36</v>
      </c>
      <c r="J177" s="19">
        <f t="shared" si="46"/>
        <v>12529.079999999998</v>
      </c>
      <c r="K177" s="19">
        <f>119*6*2</f>
        <v>1428</v>
      </c>
      <c r="L177" s="8">
        <f>144.73*137</f>
        <v>19828.01</v>
      </c>
      <c r="M177" s="8"/>
      <c r="N177" s="8"/>
      <c r="O177" s="24">
        <f t="shared" si="36"/>
        <v>15951.375</v>
      </c>
      <c r="P177" s="32">
        <f t="shared" si="47"/>
        <v>262034.76499999996</v>
      </c>
      <c r="Q177" s="32">
        <f t="shared" si="50"/>
        <v>91241.865</v>
      </c>
      <c r="R177" s="34">
        <f t="shared" si="37"/>
        <v>214038.45</v>
      </c>
      <c r="S177" s="19"/>
      <c r="T177" s="19"/>
      <c r="U177" s="19"/>
      <c r="V177" s="19"/>
      <c r="W177" s="19"/>
      <c r="X177" s="19"/>
      <c r="Y177" s="32">
        <f t="shared" si="48"/>
        <v>0</v>
      </c>
      <c r="Z177" s="32">
        <f t="shared" si="38"/>
        <v>89791.74</v>
      </c>
      <c r="AA177" s="32"/>
      <c r="AB177" s="32">
        <f t="shared" si="51"/>
        <v>34106.94</v>
      </c>
      <c r="AC177" s="34">
        <f t="shared" si="39"/>
        <v>16243.800000000001</v>
      </c>
      <c r="AD177" s="8"/>
      <c r="AE177" s="8"/>
      <c r="AF177" s="34"/>
      <c r="AG177" s="32">
        <f t="shared" si="40"/>
        <v>82135.07999999999</v>
      </c>
      <c r="AH177" s="32">
        <v>57500</v>
      </c>
      <c r="AI177" s="32">
        <f t="shared" si="49"/>
        <v>847092.64</v>
      </c>
    </row>
    <row r="178" spans="1:35" ht="15.75">
      <c r="A178" s="5" t="s">
        <v>118</v>
      </c>
      <c r="B178" s="5" t="s">
        <v>119</v>
      </c>
      <c r="C178" s="5" t="s">
        <v>2</v>
      </c>
      <c r="D178" s="29">
        <v>94.8</v>
      </c>
      <c r="E178" s="19">
        <f t="shared" si="41"/>
        <v>409.536</v>
      </c>
      <c r="F178" s="19">
        <f t="shared" si="42"/>
        <v>1353.744</v>
      </c>
      <c r="G178" s="19">
        <f t="shared" si="43"/>
        <v>1342.368</v>
      </c>
      <c r="H178" s="19">
        <f t="shared" si="44"/>
        <v>295.776</v>
      </c>
      <c r="I178" s="19">
        <f t="shared" si="45"/>
        <v>68.256</v>
      </c>
      <c r="J178" s="19">
        <f t="shared" si="46"/>
        <v>204.768</v>
      </c>
      <c r="K178" s="19">
        <f>2*230</f>
        <v>460</v>
      </c>
      <c r="L178" s="8"/>
      <c r="M178" s="8"/>
      <c r="N178" s="8"/>
      <c r="O178" s="24">
        <f t="shared" si="36"/>
        <v>260.7</v>
      </c>
      <c r="P178" s="32">
        <f t="shared" si="47"/>
        <v>4395.148</v>
      </c>
      <c r="Q178" s="32"/>
      <c r="R178" s="34">
        <f t="shared" si="37"/>
        <v>3498.12</v>
      </c>
      <c r="S178" s="19"/>
      <c r="T178" s="19"/>
      <c r="U178" s="19"/>
      <c r="V178" s="19"/>
      <c r="W178" s="19"/>
      <c r="X178" s="19"/>
      <c r="Y178" s="32">
        <f t="shared" si="48"/>
        <v>0</v>
      </c>
      <c r="Z178" s="32">
        <f t="shared" si="38"/>
        <v>1467.504</v>
      </c>
      <c r="AA178" s="32"/>
      <c r="AB178" s="32">
        <f t="shared" si="51"/>
        <v>557.424</v>
      </c>
      <c r="AC178" s="34">
        <f t="shared" si="39"/>
        <v>267.84</v>
      </c>
      <c r="AD178" s="8"/>
      <c r="AE178" s="8"/>
      <c r="AF178" s="34"/>
      <c r="AG178" s="32">
        <f t="shared" si="40"/>
        <v>1342.368</v>
      </c>
      <c r="AH178" s="32"/>
      <c r="AI178" s="32">
        <f t="shared" si="49"/>
        <v>11528.404</v>
      </c>
    </row>
    <row r="179" spans="1:35" ht="15.75">
      <c r="A179" s="3" t="s">
        <v>120</v>
      </c>
      <c r="B179" s="4" t="s">
        <v>1</v>
      </c>
      <c r="C179" s="3" t="s">
        <v>2</v>
      </c>
      <c r="D179" s="26">
        <v>1557</v>
      </c>
      <c r="E179" s="19">
        <f t="shared" si="41"/>
        <v>6726.24</v>
      </c>
      <c r="F179" s="19">
        <f t="shared" si="42"/>
        <v>22233.96</v>
      </c>
      <c r="G179" s="19">
        <f t="shared" si="43"/>
        <v>22047.12</v>
      </c>
      <c r="H179" s="19">
        <f t="shared" si="44"/>
        <v>4857.84</v>
      </c>
      <c r="I179" s="19">
        <f t="shared" si="45"/>
        <v>1121.04</v>
      </c>
      <c r="J179" s="19">
        <f t="shared" si="46"/>
        <v>3363.12</v>
      </c>
      <c r="K179" s="19">
        <f>36*8*4+36*6*2</f>
        <v>1584</v>
      </c>
      <c r="L179" s="8">
        <f>144.73*44</f>
        <v>6368.12</v>
      </c>
      <c r="M179" s="8"/>
      <c r="N179" s="8">
        <f>939*20.77</f>
        <v>19503.03</v>
      </c>
      <c r="O179" s="24">
        <f t="shared" si="36"/>
        <v>4281.75</v>
      </c>
      <c r="P179" s="32">
        <f t="shared" si="47"/>
        <v>92086.21999999999</v>
      </c>
      <c r="Q179" s="32">
        <f>D179*1.27*5+D179*1.34*7</f>
        <v>24491.61</v>
      </c>
      <c r="R179" s="34">
        <f t="shared" si="37"/>
        <v>57453.3</v>
      </c>
      <c r="S179" s="19"/>
      <c r="T179" s="19"/>
      <c r="U179" s="19"/>
      <c r="V179" s="19"/>
      <c r="W179" s="19">
        <f>5*220</f>
        <v>1100</v>
      </c>
      <c r="X179" s="19"/>
      <c r="Y179" s="32">
        <f t="shared" si="48"/>
        <v>1100</v>
      </c>
      <c r="Z179" s="32">
        <f t="shared" si="38"/>
        <v>24102.36</v>
      </c>
      <c r="AA179" s="32"/>
      <c r="AB179" s="32">
        <f t="shared" si="51"/>
        <v>9155.16</v>
      </c>
      <c r="AC179" s="34">
        <f t="shared" si="39"/>
        <v>4362</v>
      </c>
      <c r="AD179" s="8"/>
      <c r="AE179" s="8"/>
      <c r="AF179" s="34"/>
      <c r="AG179" s="32">
        <f t="shared" si="40"/>
        <v>22047.12</v>
      </c>
      <c r="AH179" s="32">
        <v>57500</v>
      </c>
      <c r="AI179" s="32">
        <f t="shared" si="49"/>
        <v>292297.77</v>
      </c>
    </row>
    <row r="180" spans="1:35" ht="15.75">
      <c r="A180" s="3" t="s">
        <v>120</v>
      </c>
      <c r="B180" s="4" t="s">
        <v>121</v>
      </c>
      <c r="C180" s="3" t="s">
        <v>2</v>
      </c>
      <c r="D180" s="26">
        <v>1641.3</v>
      </c>
      <c r="E180" s="19">
        <f t="shared" si="41"/>
        <v>7090.415999999999</v>
      </c>
      <c r="F180" s="19">
        <f t="shared" si="42"/>
        <v>23437.764</v>
      </c>
      <c r="G180" s="19">
        <f t="shared" si="43"/>
        <v>23240.807999999997</v>
      </c>
      <c r="H180" s="19">
        <f t="shared" si="44"/>
        <v>5120.856</v>
      </c>
      <c r="I180" s="19">
        <f t="shared" si="45"/>
        <v>1181.7359999999999</v>
      </c>
      <c r="J180" s="19">
        <f t="shared" si="46"/>
        <v>3545.2079999999996</v>
      </c>
      <c r="K180" s="19">
        <f>19*6*2</f>
        <v>228</v>
      </c>
      <c r="L180" s="8"/>
      <c r="M180" s="8"/>
      <c r="N180" s="8"/>
      <c r="O180" s="24">
        <f t="shared" si="36"/>
        <v>4513.575</v>
      </c>
      <c r="P180" s="32">
        <f t="shared" si="47"/>
        <v>68358.363</v>
      </c>
      <c r="Q180" s="32">
        <f>D180*1.27*5+D180*1.34*7</f>
        <v>25817.649</v>
      </c>
      <c r="R180" s="34">
        <f t="shared" si="37"/>
        <v>60563.969999999994</v>
      </c>
      <c r="S180" s="19"/>
      <c r="T180" s="19"/>
      <c r="U180" s="19"/>
      <c r="V180" s="19"/>
      <c r="W180" s="19">
        <f>11*220</f>
        <v>2420</v>
      </c>
      <c r="X180" s="19"/>
      <c r="Y180" s="32">
        <f t="shared" si="48"/>
        <v>2420</v>
      </c>
      <c r="Z180" s="32">
        <f t="shared" si="38"/>
        <v>25407.324</v>
      </c>
      <c r="AA180" s="32"/>
      <c r="AB180" s="32">
        <f t="shared" si="51"/>
        <v>9650.844</v>
      </c>
      <c r="AC180" s="34">
        <f t="shared" si="39"/>
        <v>4598.039999999999</v>
      </c>
      <c r="AD180" s="8"/>
      <c r="AE180" s="8"/>
      <c r="AF180" s="34"/>
      <c r="AG180" s="32">
        <f t="shared" si="40"/>
        <v>23240.807999999997</v>
      </c>
      <c r="AH180" s="32"/>
      <c r="AI180" s="32">
        <f t="shared" si="49"/>
        <v>220056.998</v>
      </c>
    </row>
    <row r="181" spans="1:35" ht="15.75">
      <c r="A181" s="3" t="s">
        <v>120</v>
      </c>
      <c r="B181" s="4" t="s">
        <v>122</v>
      </c>
      <c r="C181" s="3" t="s">
        <v>2</v>
      </c>
      <c r="D181" s="26">
        <v>1295.9</v>
      </c>
      <c r="E181" s="19">
        <f t="shared" si="41"/>
        <v>5598.2880000000005</v>
      </c>
      <c r="F181" s="19">
        <f t="shared" si="42"/>
        <v>18505.452</v>
      </c>
      <c r="G181" s="19">
        <f t="shared" si="43"/>
        <v>18349.944</v>
      </c>
      <c r="H181" s="19">
        <f t="shared" si="44"/>
        <v>4043.2080000000005</v>
      </c>
      <c r="I181" s="19">
        <f t="shared" si="45"/>
        <v>933.048</v>
      </c>
      <c r="J181" s="19">
        <f t="shared" si="46"/>
        <v>2799.1440000000002</v>
      </c>
      <c r="K181" s="19">
        <f>32*8*4+32*6*2</f>
        <v>1408</v>
      </c>
      <c r="L181" s="8"/>
      <c r="M181" s="8"/>
      <c r="N181" s="8"/>
      <c r="O181" s="24">
        <f t="shared" si="36"/>
        <v>3563.7250000000004</v>
      </c>
      <c r="P181" s="32">
        <f t="shared" si="47"/>
        <v>55200.809</v>
      </c>
      <c r="Q181" s="32">
        <f>D181*1.27*5+D181*1.34*7</f>
        <v>20384.507</v>
      </c>
      <c r="R181" s="34">
        <f t="shared" si="37"/>
        <v>47818.71000000001</v>
      </c>
      <c r="S181" s="19">
        <f>20*700</f>
        <v>14000</v>
      </c>
      <c r="T181" s="19"/>
      <c r="U181" s="19"/>
      <c r="V181" s="19">
        <f>112*150</f>
        <v>16800</v>
      </c>
      <c r="W181" s="19">
        <f>10*220</f>
        <v>2200</v>
      </c>
      <c r="X181" s="19"/>
      <c r="Y181" s="32">
        <f t="shared" si="48"/>
        <v>33000</v>
      </c>
      <c r="Z181" s="32">
        <f t="shared" si="38"/>
        <v>20060.532000000003</v>
      </c>
      <c r="AA181" s="32"/>
      <c r="AB181" s="32">
        <f t="shared" si="51"/>
        <v>7619.892</v>
      </c>
      <c r="AC181" s="34">
        <f t="shared" si="39"/>
        <v>3630.92</v>
      </c>
      <c r="AD181" s="8"/>
      <c r="AE181" s="8"/>
      <c r="AF181" s="34"/>
      <c r="AG181" s="32">
        <f t="shared" si="40"/>
        <v>18349.944</v>
      </c>
      <c r="AH181" s="32"/>
      <c r="AI181" s="32">
        <f t="shared" si="49"/>
        <v>206065.314</v>
      </c>
    </row>
    <row r="182" spans="1:35" ht="15.75">
      <c r="A182" s="3" t="s">
        <v>120</v>
      </c>
      <c r="B182" s="4" t="s">
        <v>123</v>
      </c>
      <c r="C182" s="3" t="s">
        <v>2</v>
      </c>
      <c r="D182" s="26">
        <v>968.2</v>
      </c>
      <c r="E182" s="19">
        <f t="shared" si="41"/>
        <v>4182.624</v>
      </c>
      <c r="F182" s="19">
        <f t="shared" si="42"/>
        <v>13825.895999999999</v>
      </c>
      <c r="G182" s="19">
        <f t="shared" si="43"/>
        <v>13709.712</v>
      </c>
      <c r="H182" s="19">
        <f t="shared" si="44"/>
        <v>3020.7840000000006</v>
      </c>
      <c r="I182" s="19">
        <f t="shared" si="45"/>
        <v>697.104</v>
      </c>
      <c r="J182" s="19">
        <f t="shared" si="46"/>
        <v>2091.312</v>
      </c>
      <c r="K182" s="19">
        <f>24*8*4+24*6*2</f>
        <v>1056</v>
      </c>
      <c r="L182" s="8">
        <f>144.73*30</f>
        <v>4341.9</v>
      </c>
      <c r="M182" s="8"/>
      <c r="N182" s="8"/>
      <c r="O182" s="24">
        <f t="shared" si="36"/>
        <v>2662.5500000000006</v>
      </c>
      <c r="P182" s="32">
        <f t="shared" si="47"/>
        <v>45587.882</v>
      </c>
      <c r="Q182" s="32"/>
      <c r="R182" s="34">
        <f t="shared" si="37"/>
        <v>35726.58</v>
      </c>
      <c r="S182" s="19"/>
      <c r="T182" s="19"/>
      <c r="U182" s="19"/>
      <c r="V182" s="19"/>
      <c r="W182" s="19">
        <f>9*220</f>
        <v>1980</v>
      </c>
      <c r="X182" s="19"/>
      <c r="Y182" s="32">
        <f t="shared" si="48"/>
        <v>1980</v>
      </c>
      <c r="Z182" s="32">
        <f t="shared" si="38"/>
        <v>14987.736</v>
      </c>
      <c r="AA182" s="32"/>
      <c r="AB182" s="32">
        <f t="shared" si="51"/>
        <v>5693.016</v>
      </c>
      <c r="AC182" s="34">
        <f t="shared" si="39"/>
        <v>2713.36</v>
      </c>
      <c r="AD182" s="8"/>
      <c r="AE182" s="8"/>
      <c r="AF182" s="34"/>
      <c r="AG182" s="32">
        <f t="shared" si="40"/>
        <v>13709.712</v>
      </c>
      <c r="AH182" s="32"/>
      <c r="AI182" s="32">
        <f t="shared" si="49"/>
        <v>120398.28600000001</v>
      </c>
    </row>
    <row r="183" spans="1:35" ht="15.75">
      <c r="A183" s="3" t="s">
        <v>120</v>
      </c>
      <c r="B183" s="4" t="s">
        <v>34</v>
      </c>
      <c r="C183" s="3" t="s">
        <v>2</v>
      </c>
      <c r="D183" s="26">
        <v>5302.8</v>
      </c>
      <c r="E183" s="19">
        <f t="shared" si="41"/>
        <v>22908.096</v>
      </c>
      <c r="F183" s="19">
        <f t="shared" si="42"/>
        <v>75723.984</v>
      </c>
      <c r="G183" s="19">
        <f t="shared" si="43"/>
        <v>75087.648</v>
      </c>
      <c r="H183" s="19">
        <f t="shared" si="44"/>
        <v>16544.736</v>
      </c>
      <c r="I183" s="19">
        <f t="shared" si="45"/>
        <v>3818.016</v>
      </c>
      <c r="J183" s="19">
        <f t="shared" si="46"/>
        <v>11454.048</v>
      </c>
      <c r="K183" s="19">
        <f>120*6*2</f>
        <v>1440</v>
      </c>
      <c r="L183" s="8">
        <f>144.73*3</f>
        <v>434.18999999999994</v>
      </c>
      <c r="M183" s="8"/>
      <c r="N183" s="8"/>
      <c r="O183" s="24">
        <f t="shared" si="36"/>
        <v>14582.700000000003</v>
      </c>
      <c r="P183" s="32">
        <f t="shared" si="47"/>
        <v>221993.41800000003</v>
      </c>
      <c r="Q183" s="32">
        <f aca="true" t="shared" si="52" ref="Q183:Q192">D183*1.27*5+D183*1.34*7</f>
        <v>83413.044</v>
      </c>
      <c r="R183" s="34">
        <f t="shared" si="37"/>
        <v>195673.32000000004</v>
      </c>
      <c r="S183" s="19"/>
      <c r="T183" s="19"/>
      <c r="U183" s="19"/>
      <c r="V183" s="19"/>
      <c r="W183" s="19"/>
      <c r="X183" s="19"/>
      <c r="Y183" s="32">
        <f t="shared" si="48"/>
        <v>0</v>
      </c>
      <c r="Z183" s="32">
        <f t="shared" si="38"/>
        <v>82087.344</v>
      </c>
      <c r="AA183" s="32"/>
      <c r="AB183" s="32">
        <f t="shared" si="51"/>
        <v>31180.464</v>
      </c>
      <c r="AC183" s="34">
        <f t="shared" si="39"/>
        <v>14850.240000000002</v>
      </c>
      <c r="AD183" s="8"/>
      <c r="AE183" s="8"/>
      <c r="AF183" s="34"/>
      <c r="AG183" s="32">
        <f t="shared" si="40"/>
        <v>75087.648</v>
      </c>
      <c r="AH183" s="32"/>
      <c r="AI183" s="32">
        <f t="shared" si="49"/>
        <v>704285.4780000002</v>
      </c>
    </row>
    <row r="184" spans="1:35" ht="15.75">
      <c r="A184" s="3" t="s">
        <v>120</v>
      </c>
      <c r="B184" s="4" t="s">
        <v>32</v>
      </c>
      <c r="C184" s="3" t="s">
        <v>2</v>
      </c>
      <c r="D184" s="26">
        <v>5058.2</v>
      </c>
      <c r="E184" s="19">
        <f t="shared" si="41"/>
        <v>21851.424</v>
      </c>
      <c r="F184" s="19">
        <f t="shared" si="42"/>
        <v>72231.09599999999</v>
      </c>
      <c r="G184" s="19">
        <f t="shared" si="43"/>
        <v>71624.112</v>
      </c>
      <c r="H184" s="19">
        <f t="shared" si="44"/>
        <v>15781.584</v>
      </c>
      <c r="I184" s="19">
        <f t="shared" si="45"/>
        <v>3641.9039999999995</v>
      </c>
      <c r="J184" s="19">
        <f t="shared" si="46"/>
        <v>10925.712</v>
      </c>
      <c r="K184" s="19">
        <f>107*8+107*6*2</f>
        <v>2140</v>
      </c>
      <c r="L184" s="8">
        <f>144.73*3</f>
        <v>434.18999999999994</v>
      </c>
      <c r="M184" s="8"/>
      <c r="N184" s="8"/>
      <c r="O184" s="24">
        <f t="shared" si="36"/>
        <v>13910.050000000001</v>
      </c>
      <c r="P184" s="32">
        <f t="shared" si="47"/>
        <v>212540.072</v>
      </c>
      <c r="Q184" s="32">
        <f t="shared" si="52"/>
        <v>79565.486</v>
      </c>
      <c r="R184" s="34">
        <f t="shared" si="37"/>
        <v>186647.58</v>
      </c>
      <c r="S184" s="19"/>
      <c r="T184" s="19"/>
      <c r="U184" s="19"/>
      <c r="V184" s="19"/>
      <c r="W184" s="19"/>
      <c r="X184" s="19"/>
      <c r="Y184" s="32">
        <f t="shared" si="48"/>
        <v>0</v>
      </c>
      <c r="Z184" s="32">
        <f t="shared" si="38"/>
        <v>78300.93599999999</v>
      </c>
      <c r="AA184" s="32"/>
      <c r="AB184" s="32">
        <f t="shared" si="51"/>
        <v>29742.216</v>
      </c>
      <c r="AC184" s="34">
        <f t="shared" si="39"/>
        <v>14165.359999999999</v>
      </c>
      <c r="AD184" s="8"/>
      <c r="AE184" s="8"/>
      <c r="AF184" s="34"/>
      <c r="AG184" s="32">
        <f t="shared" si="40"/>
        <v>71624.112</v>
      </c>
      <c r="AH184" s="32">
        <v>57500</v>
      </c>
      <c r="AI184" s="32">
        <f t="shared" si="49"/>
        <v>730085.7619999999</v>
      </c>
    </row>
    <row r="185" spans="1:35" ht="15.75">
      <c r="A185" s="3" t="s">
        <v>120</v>
      </c>
      <c r="B185" s="4" t="s">
        <v>124</v>
      </c>
      <c r="C185" s="3" t="s">
        <v>2</v>
      </c>
      <c r="D185" s="26">
        <v>5594</v>
      </c>
      <c r="E185" s="19">
        <f t="shared" si="41"/>
        <v>24166.079999999998</v>
      </c>
      <c r="F185" s="19">
        <f t="shared" si="42"/>
        <v>79882.31999999999</v>
      </c>
      <c r="G185" s="19">
        <f t="shared" si="43"/>
        <v>79211.04000000001</v>
      </c>
      <c r="H185" s="19">
        <f t="shared" si="44"/>
        <v>17453.28</v>
      </c>
      <c r="I185" s="19">
        <f t="shared" si="45"/>
        <v>4027.68</v>
      </c>
      <c r="J185" s="19">
        <f t="shared" si="46"/>
        <v>12083.039999999999</v>
      </c>
      <c r="K185" s="19">
        <f>105*8*4+105*6*2</f>
        <v>4620</v>
      </c>
      <c r="L185" s="8">
        <f>144.73*119</f>
        <v>17222.87</v>
      </c>
      <c r="M185" s="8"/>
      <c r="N185" s="8"/>
      <c r="O185" s="24">
        <f t="shared" si="36"/>
        <v>15383.500000000002</v>
      </c>
      <c r="P185" s="32">
        <f t="shared" si="47"/>
        <v>254049.81</v>
      </c>
      <c r="Q185" s="32">
        <f t="shared" si="52"/>
        <v>87993.62</v>
      </c>
      <c r="R185" s="34">
        <f t="shared" si="37"/>
        <v>206418.6</v>
      </c>
      <c r="S185" s="19"/>
      <c r="T185" s="19"/>
      <c r="U185" s="19"/>
      <c r="V185" s="19"/>
      <c r="W185" s="19"/>
      <c r="X185" s="19"/>
      <c r="Y185" s="32">
        <f t="shared" si="48"/>
        <v>0</v>
      </c>
      <c r="Z185" s="32">
        <f t="shared" si="38"/>
        <v>86595.12</v>
      </c>
      <c r="AA185" s="32"/>
      <c r="AB185" s="32">
        <f t="shared" si="51"/>
        <v>32892.72</v>
      </c>
      <c r="AC185" s="34">
        <f t="shared" si="39"/>
        <v>15665.599999999999</v>
      </c>
      <c r="AD185" s="8">
        <v>87512.62</v>
      </c>
      <c r="AE185" s="8">
        <v>5213.82</v>
      </c>
      <c r="AF185" s="34">
        <f>SUM(AD185:AE185)</f>
        <v>92726.44</v>
      </c>
      <c r="AG185" s="32">
        <f t="shared" si="40"/>
        <v>79211.04000000001</v>
      </c>
      <c r="AH185" s="32"/>
      <c r="AI185" s="32">
        <f t="shared" si="49"/>
        <v>855552.95</v>
      </c>
    </row>
    <row r="186" spans="1:35" ht="15.75">
      <c r="A186" s="3" t="s">
        <v>120</v>
      </c>
      <c r="B186" s="4" t="s">
        <v>125</v>
      </c>
      <c r="C186" s="3" t="s">
        <v>2</v>
      </c>
      <c r="D186" s="26">
        <v>3318.2</v>
      </c>
      <c r="E186" s="19">
        <f t="shared" si="41"/>
        <v>14334.624</v>
      </c>
      <c r="F186" s="19">
        <f t="shared" si="42"/>
        <v>47383.89599999999</v>
      </c>
      <c r="G186" s="19">
        <f t="shared" si="43"/>
        <v>46985.712</v>
      </c>
      <c r="H186" s="19">
        <f t="shared" si="44"/>
        <v>10352.784</v>
      </c>
      <c r="I186" s="19">
        <f t="shared" si="45"/>
        <v>2389.104</v>
      </c>
      <c r="J186" s="19">
        <f t="shared" si="46"/>
        <v>7167.312</v>
      </c>
      <c r="K186" s="19">
        <f>69*8*4+69*6*2</f>
        <v>3036</v>
      </c>
      <c r="L186" s="8">
        <f>144.73*3</f>
        <v>434.18999999999994</v>
      </c>
      <c r="M186" s="8"/>
      <c r="N186" s="8"/>
      <c r="O186" s="24">
        <f t="shared" si="36"/>
        <v>9125.05</v>
      </c>
      <c r="P186" s="32">
        <f t="shared" si="47"/>
        <v>141208.672</v>
      </c>
      <c r="Q186" s="32">
        <f t="shared" si="52"/>
        <v>52195.286</v>
      </c>
      <c r="R186" s="34">
        <f t="shared" si="37"/>
        <v>122441.57999999999</v>
      </c>
      <c r="S186" s="19"/>
      <c r="T186" s="19"/>
      <c r="U186" s="19"/>
      <c r="V186" s="19"/>
      <c r="W186" s="19"/>
      <c r="X186" s="19"/>
      <c r="Y186" s="32">
        <f t="shared" si="48"/>
        <v>0</v>
      </c>
      <c r="Z186" s="32">
        <f t="shared" si="38"/>
        <v>51365.736000000004</v>
      </c>
      <c r="AA186" s="32"/>
      <c r="AB186" s="32">
        <f t="shared" si="51"/>
        <v>19511.016</v>
      </c>
      <c r="AC186" s="34">
        <f t="shared" si="39"/>
        <v>9293.359999999999</v>
      </c>
      <c r="AD186" s="8"/>
      <c r="AE186" s="8"/>
      <c r="AF186" s="34"/>
      <c r="AG186" s="32">
        <f t="shared" si="40"/>
        <v>46985.712</v>
      </c>
      <c r="AH186" s="32"/>
      <c r="AI186" s="32">
        <f t="shared" si="49"/>
        <v>443001.36199999996</v>
      </c>
    </row>
    <row r="187" spans="1:35" ht="15.75">
      <c r="A187" s="3" t="s">
        <v>120</v>
      </c>
      <c r="B187" s="4" t="s">
        <v>71</v>
      </c>
      <c r="C187" s="3" t="s">
        <v>2</v>
      </c>
      <c r="D187" s="26">
        <v>2611.4</v>
      </c>
      <c r="E187" s="19">
        <f t="shared" si="41"/>
        <v>11281.248</v>
      </c>
      <c r="F187" s="19">
        <f t="shared" si="42"/>
        <v>37290.792</v>
      </c>
      <c r="G187" s="19">
        <f t="shared" si="43"/>
        <v>36977.424</v>
      </c>
      <c r="H187" s="19">
        <f t="shared" si="44"/>
        <v>8147.568000000001</v>
      </c>
      <c r="I187" s="19">
        <f t="shared" si="45"/>
        <v>1880.208</v>
      </c>
      <c r="J187" s="19">
        <f t="shared" si="46"/>
        <v>5640.624</v>
      </c>
      <c r="K187" s="19">
        <f>64*6*2</f>
        <v>768</v>
      </c>
      <c r="L187" s="8">
        <f>144.73*74</f>
        <v>10710.019999999999</v>
      </c>
      <c r="M187" s="8"/>
      <c r="N187" s="8"/>
      <c r="O187" s="24">
        <f t="shared" si="36"/>
        <v>7181.350000000001</v>
      </c>
      <c r="P187" s="32">
        <f t="shared" si="47"/>
        <v>119877.23400000001</v>
      </c>
      <c r="Q187" s="32">
        <f t="shared" si="52"/>
        <v>41077.322</v>
      </c>
      <c r="R187" s="34">
        <f t="shared" si="37"/>
        <v>96360.66</v>
      </c>
      <c r="S187" s="19"/>
      <c r="T187" s="19"/>
      <c r="U187" s="19"/>
      <c r="V187" s="19"/>
      <c r="W187" s="19"/>
      <c r="X187" s="19"/>
      <c r="Y187" s="32">
        <f t="shared" si="48"/>
        <v>0</v>
      </c>
      <c r="Z187" s="32">
        <f t="shared" si="38"/>
        <v>40424.472</v>
      </c>
      <c r="AA187" s="32"/>
      <c r="AB187" s="32">
        <f t="shared" si="51"/>
        <v>15355.032</v>
      </c>
      <c r="AC187" s="34">
        <f t="shared" si="39"/>
        <v>7314.320000000001</v>
      </c>
      <c r="AD187" s="8"/>
      <c r="AE187" s="8"/>
      <c r="AF187" s="34"/>
      <c r="AG187" s="32">
        <f t="shared" si="40"/>
        <v>36977.424</v>
      </c>
      <c r="AH187" s="32"/>
      <c r="AI187" s="32">
        <f t="shared" si="49"/>
        <v>357386.46400000004</v>
      </c>
    </row>
    <row r="188" spans="1:35" ht="15.75">
      <c r="A188" s="3" t="s">
        <v>120</v>
      </c>
      <c r="B188" s="4" t="s">
        <v>81</v>
      </c>
      <c r="C188" s="3" t="s">
        <v>66</v>
      </c>
      <c r="D188" s="26">
        <v>6190.9</v>
      </c>
      <c r="E188" s="19">
        <f t="shared" si="41"/>
        <v>26744.687999999995</v>
      </c>
      <c r="F188" s="19">
        <f t="shared" si="42"/>
        <v>88406.052</v>
      </c>
      <c r="G188" s="19">
        <f t="shared" si="43"/>
        <v>87663.14399999999</v>
      </c>
      <c r="H188" s="19">
        <f t="shared" si="44"/>
        <v>19315.608</v>
      </c>
      <c r="I188" s="19">
        <f t="shared" si="45"/>
        <v>4457.447999999999</v>
      </c>
      <c r="J188" s="19">
        <f t="shared" si="46"/>
        <v>13372.343999999997</v>
      </c>
      <c r="K188" s="19">
        <f>128*8+128*6*2</f>
        <v>2560</v>
      </c>
      <c r="L188" s="8">
        <f>144.73*2</f>
        <v>289.46</v>
      </c>
      <c r="M188" s="8"/>
      <c r="N188" s="8"/>
      <c r="O188" s="24">
        <f t="shared" si="36"/>
        <v>17024.975</v>
      </c>
      <c r="P188" s="32">
        <f t="shared" si="47"/>
        <v>259833.71899999998</v>
      </c>
      <c r="Q188" s="32">
        <f t="shared" si="52"/>
        <v>97382.857</v>
      </c>
      <c r="R188" s="34">
        <f t="shared" si="37"/>
        <v>228444.20999999996</v>
      </c>
      <c r="S188" s="19"/>
      <c r="T188" s="19"/>
      <c r="U188" s="19"/>
      <c r="V188" s="19"/>
      <c r="W188" s="19"/>
      <c r="X188" s="19"/>
      <c r="Y188" s="32">
        <f t="shared" si="48"/>
        <v>0</v>
      </c>
      <c r="Z188" s="32">
        <f t="shared" si="38"/>
        <v>95835.132</v>
      </c>
      <c r="AA188" s="32"/>
      <c r="AB188" s="32">
        <f t="shared" si="51"/>
        <v>36402.492</v>
      </c>
      <c r="AC188" s="34">
        <f t="shared" si="39"/>
        <v>17336.920000000002</v>
      </c>
      <c r="AD188" s="8"/>
      <c r="AE188" s="8"/>
      <c r="AF188" s="34"/>
      <c r="AG188" s="32">
        <f t="shared" si="40"/>
        <v>87663.14399999999</v>
      </c>
      <c r="AH188" s="32"/>
      <c r="AI188" s="32">
        <f t="shared" si="49"/>
        <v>822898.4739999999</v>
      </c>
    </row>
    <row r="189" spans="1:35" ht="15.75">
      <c r="A189" s="3" t="s">
        <v>120</v>
      </c>
      <c r="B189" s="4" t="s">
        <v>39</v>
      </c>
      <c r="C189" s="3" t="s">
        <v>2</v>
      </c>
      <c r="D189" s="26">
        <v>4987.6</v>
      </c>
      <c r="E189" s="19">
        <f t="shared" si="41"/>
        <v>21546.432</v>
      </c>
      <c r="F189" s="19">
        <f t="shared" si="42"/>
        <v>71222.92800000001</v>
      </c>
      <c r="G189" s="19">
        <f t="shared" si="43"/>
        <v>70624.416</v>
      </c>
      <c r="H189" s="19">
        <f t="shared" si="44"/>
        <v>15561.312000000002</v>
      </c>
      <c r="I189" s="19">
        <f t="shared" si="45"/>
        <v>3591.072</v>
      </c>
      <c r="J189" s="19">
        <f t="shared" si="46"/>
        <v>10773.216</v>
      </c>
      <c r="K189" s="19">
        <f>104*8+104*6*2</f>
        <v>2080</v>
      </c>
      <c r="L189" s="8">
        <f>144.73*2</f>
        <v>289.46</v>
      </c>
      <c r="M189" s="8"/>
      <c r="N189" s="8"/>
      <c r="O189" s="24">
        <f t="shared" si="36"/>
        <v>13715.900000000001</v>
      </c>
      <c r="P189" s="32">
        <f t="shared" si="47"/>
        <v>209404.73600000003</v>
      </c>
      <c r="Q189" s="32">
        <f t="shared" si="52"/>
        <v>78454.948</v>
      </c>
      <c r="R189" s="34">
        <f t="shared" si="37"/>
        <v>184042.44</v>
      </c>
      <c r="S189" s="19"/>
      <c r="T189" s="19"/>
      <c r="U189" s="19"/>
      <c r="V189" s="19"/>
      <c r="W189" s="19"/>
      <c r="X189" s="19"/>
      <c r="Y189" s="32">
        <f t="shared" si="48"/>
        <v>0</v>
      </c>
      <c r="Z189" s="32">
        <f t="shared" si="38"/>
        <v>77208.04800000001</v>
      </c>
      <c r="AA189" s="32"/>
      <c r="AB189" s="32">
        <f t="shared" si="51"/>
        <v>29327.088</v>
      </c>
      <c r="AC189" s="34">
        <f t="shared" si="39"/>
        <v>13967.68</v>
      </c>
      <c r="AD189" s="8"/>
      <c r="AE189" s="8"/>
      <c r="AF189" s="34"/>
      <c r="AG189" s="32">
        <f t="shared" si="40"/>
        <v>70624.416</v>
      </c>
      <c r="AH189" s="32"/>
      <c r="AI189" s="32">
        <f t="shared" si="49"/>
        <v>663029.356</v>
      </c>
    </row>
    <row r="190" spans="1:35" ht="15.75">
      <c r="A190" s="3" t="s">
        <v>120</v>
      </c>
      <c r="B190" s="4" t="s">
        <v>126</v>
      </c>
      <c r="C190" s="3" t="s">
        <v>2</v>
      </c>
      <c r="D190" s="26">
        <v>4396.2</v>
      </c>
      <c r="E190" s="19">
        <f t="shared" si="41"/>
        <v>18991.584</v>
      </c>
      <c r="F190" s="19">
        <f t="shared" si="42"/>
        <v>62777.73599999999</v>
      </c>
      <c r="G190" s="19">
        <f t="shared" si="43"/>
        <v>62250.191999999995</v>
      </c>
      <c r="H190" s="19">
        <f t="shared" si="44"/>
        <v>13716.144</v>
      </c>
      <c r="I190" s="19">
        <f t="shared" si="45"/>
        <v>3165.264</v>
      </c>
      <c r="J190" s="19">
        <f t="shared" si="46"/>
        <v>9495.792</v>
      </c>
      <c r="K190" s="19">
        <f>97*6*2</f>
        <v>1164</v>
      </c>
      <c r="L190" s="8">
        <f>144.73*3</f>
        <v>434.18999999999994</v>
      </c>
      <c r="M190" s="8"/>
      <c r="N190" s="8"/>
      <c r="O190" s="24">
        <f t="shared" si="36"/>
        <v>12089.550000000001</v>
      </c>
      <c r="P190" s="32">
        <f t="shared" si="47"/>
        <v>184084.45199999996</v>
      </c>
      <c r="Q190" s="32">
        <f t="shared" si="52"/>
        <v>69152.226</v>
      </c>
      <c r="R190" s="34">
        <f t="shared" si="37"/>
        <v>162219.77999999997</v>
      </c>
      <c r="S190" s="19">
        <f>20*120</f>
        <v>2400</v>
      </c>
      <c r="T190" s="19"/>
      <c r="U190" s="19"/>
      <c r="V190" s="19"/>
      <c r="W190" s="19"/>
      <c r="X190" s="19"/>
      <c r="Y190" s="32">
        <f t="shared" si="48"/>
        <v>2400</v>
      </c>
      <c r="Z190" s="32">
        <f t="shared" si="38"/>
        <v>68053.176</v>
      </c>
      <c r="AA190" s="32"/>
      <c r="AB190" s="32">
        <f t="shared" si="51"/>
        <v>25849.656</v>
      </c>
      <c r="AC190" s="34">
        <f t="shared" si="39"/>
        <v>12311.76</v>
      </c>
      <c r="AD190" s="8"/>
      <c r="AE190" s="8"/>
      <c r="AF190" s="34"/>
      <c r="AG190" s="32">
        <f t="shared" si="40"/>
        <v>62250.191999999995</v>
      </c>
      <c r="AH190" s="32">
        <v>57500</v>
      </c>
      <c r="AI190" s="32">
        <f t="shared" si="49"/>
        <v>643821.242</v>
      </c>
    </row>
    <row r="191" spans="1:35" ht="15.75">
      <c r="A191" s="3" t="s">
        <v>120</v>
      </c>
      <c r="B191" s="4" t="s">
        <v>127</v>
      </c>
      <c r="C191" s="3" t="s">
        <v>2</v>
      </c>
      <c r="D191" s="26">
        <v>4974</v>
      </c>
      <c r="E191" s="19">
        <f t="shared" si="41"/>
        <v>21487.68</v>
      </c>
      <c r="F191" s="19">
        <f t="shared" si="42"/>
        <v>71028.72</v>
      </c>
      <c r="G191" s="19">
        <f t="shared" si="43"/>
        <v>70431.84</v>
      </c>
      <c r="H191" s="19">
        <f t="shared" si="44"/>
        <v>15518.880000000001</v>
      </c>
      <c r="I191" s="19">
        <f t="shared" si="45"/>
        <v>3581.2799999999997</v>
      </c>
      <c r="J191" s="19">
        <f t="shared" si="46"/>
        <v>10743.84</v>
      </c>
      <c r="K191" s="19">
        <f>104*6*2</f>
        <v>1248</v>
      </c>
      <c r="L191" s="8">
        <f>144.73*2</f>
        <v>289.46</v>
      </c>
      <c r="M191" s="8"/>
      <c r="N191" s="8"/>
      <c r="O191" s="24">
        <f t="shared" si="36"/>
        <v>13678.500000000002</v>
      </c>
      <c r="P191" s="32">
        <f t="shared" si="47"/>
        <v>208008.19999999998</v>
      </c>
      <c r="Q191" s="32">
        <f t="shared" si="52"/>
        <v>78241.02</v>
      </c>
      <c r="R191" s="34">
        <f t="shared" si="37"/>
        <v>183540.6</v>
      </c>
      <c r="S191" s="19"/>
      <c r="T191" s="19"/>
      <c r="U191" s="19"/>
      <c r="V191" s="19"/>
      <c r="W191" s="19"/>
      <c r="X191" s="19"/>
      <c r="Y191" s="32">
        <f t="shared" si="48"/>
        <v>0</v>
      </c>
      <c r="Z191" s="32">
        <f t="shared" si="38"/>
        <v>76997.52</v>
      </c>
      <c r="AA191" s="32"/>
      <c r="AB191" s="32">
        <f t="shared" si="51"/>
        <v>29247.119999999995</v>
      </c>
      <c r="AC191" s="34">
        <f t="shared" si="39"/>
        <v>13929.6</v>
      </c>
      <c r="AD191" s="8"/>
      <c r="AE191" s="8"/>
      <c r="AF191" s="34"/>
      <c r="AG191" s="32">
        <f t="shared" si="40"/>
        <v>70431.84</v>
      </c>
      <c r="AH191" s="32"/>
      <c r="AI191" s="32">
        <f t="shared" si="49"/>
        <v>660395.8999999999</v>
      </c>
    </row>
    <row r="192" spans="1:35" ht="15.75">
      <c r="A192" s="3" t="s">
        <v>120</v>
      </c>
      <c r="B192" s="4" t="s">
        <v>9</v>
      </c>
      <c r="C192" s="3" t="s">
        <v>2</v>
      </c>
      <c r="D192" s="26">
        <v>6176.6</v>
      </c>
      <c r="E192" s="19">
        <f t="shared" si="41"/>
        <v>26682.912</v>
      </c>
      <c r="F192" s="19">
        <f t="shared" si="42"/>
        <v>88201.848</v>
      </c>
      <c r="G192" s="19">
        <f t="shared" si="43"/>
        <v>87460.656</v>
      </c>
      <c r="H192" s="19">
        <f t="shared" si="44"/>
        <v>19270.992000000002</v>
      </c>
      <c r="I192" s="19">
        <f t="shared" si="45"/>
        <v>4447.152</v>
      </c>
      <c r="J192" s="19">
        <f t="shared" si="46"/>
        <v>13341.456</v>
      </c>
      <c r="K192" s="19">
        <f>128*8*4+128*6*2</f>
        <v>5632</v>
      </c>
      <c r="L192" s="8">
        <f>144.73*3</f>
        <v>434.18999999999994</v>
      </c>
      <c r="M192" s="8"/>
      <c r="N192" s="8"/>
      <c r="O192" s="24">
        <f t="shared" si="36"/>
        <v>16985.65</v>
      </c>
      <c r="P192" s="32">
        <f t="shared" si="47"/>
        <v>262456.856</v>
      </c>
      <c r="Q192" s="32">
        <f t="shared" si="52"/>
        <v>97157.918</v>
      </c>
      <c r="R192" s="34">
        <f t="shared" si="37"/>
        <v>227916.54000000004</v>
      </c>
      <c r="S192" s="19"/>
      <c r="T192" s="19"/>
      <c r="U192" s="19"/>
      <c r="V192" s="19"/>
      <c r="W192" s="19"/>
      <c r="X192" s="19"/>
      <c r="Y192" s="32">
        <f t="shared" si="48"/>
        <v>0</v>
      </c>
      <c r="Z192" s="32">
        <f t="shared" si="38"/>
        <v>95613.76800000001</v>
      </c>
      <c r="AA192" s="32"/>
      <c r="AB192" s="32">
        <f t="shared" si="51"/>
        <v>36318.408</v>
      </c>
      <c r="AC192" s="34">
        <f t="shared" si="39"/>
        <v>17296.880000000005</v>
      </c>
      <c r="AD192" s="8"/>
      <c r="AE192" s="8"/>
      <c r="AF192" s="34"/>
      <c r="AG192" s="32">
        <f t="shared" si="40"/>
        <v>87460.656</v>
      </c>
      <c r="AH192" s="32">
        <v>57500</v>
      </c>
      <c r="AI192" s="32">
        <f t="shared" si="49"/>
        <v>881721.0260000001</v>
      </c>
    </row>
    <row r="193" spans="1:35" ht="15.75">
      <c r="A193" s="3" t="s">
        <v>120</v>
      </c>
      <c r="B193" s="4" t="s">
        <v>72</v>
      </c>
      <c r="C193" s="3" t="s">
        <v>2</v>
      </c>
      <c r="D193" s="26">
        <v>1164.7</v>
      </c>
      <c r="E193" s="19">
        <f t="shared" si="41"/>
        <v>5031.504</v>
      </c>
      <c r="F193" s="19">
        <f t="shared" si="42"/>
        <v>16631.915999999997</v>
      </c>
      <c r="G193" s="19">
        <f t="shared" si="43"/>
        <v>16492.152000000002</v>
      </c>
      <c r="H193" s="19">
        <f t="shared" si="44"/>
        <v>3633.864</v>
      </c>
      <c r="I193" s="19">
        <f t="shared" si="45"/>
        <v>838.5840000000001</v>
      </c>
      <c r="J193" s="19">
        <f t="shared" si="46"/>
        <v>2515.752</v>
      </c>
      <c r="K193" s="19">
        <f>10*8*4+10*6*2</f>
        <v>440</v>
      </c>
      <c r="L193" s="8">
        <f>144.73*16</f>
        <v>2315.68</v>
      </c>
      <c r="M193" s="8"/>
      <c r="N193" s="8"/>
      <c r="O193" s="24">
        <f t="shared" si="36"/>
        <v>3202.925</v>
      </c>
      <c r="P193" s="32">
        <f t="shared" si="47"/>
        <v>51102.37700000001</v>
      </c>
      <c r="Q193" s="32"/>
      <c r="R193" s="34">
        <f t="shared" si="37"/>
        <v>42977.43000000001</v>
      </c>
      <c r="S193" s="19"/>
      <c r="T193" s="19"/>
      <c r="U193" s="19"/>
      <c r="V193" s="19">
        <f>156*150</f>
        <v>23400</v>
      </c>
      <c r="W193" s="19">
        <f>10*220</f>
        <v>2200</v>
      </c>
      <c r="X193" s="19"/>
      <c r="Y193" s="32">
        <f t="shared" si="48"/>
        <v>25600</v>
      </c>
      <c r="Z193" s="32">
        <f t="shared" si="38"/>
        <v>18029.556000000004</v>
      </c>
      <c r="AA193" s="32"/>
      <c r="AB193" s="32">
        <f t="shared" si="51"/>
        <v>6848.436</v>
      </c>
      <c r="AC193" s="34">
        <f t="shared" si="39"/>
        <v>3263.5600000000004</v>
      </c>
      <c r="AD193" s="8"/>
      <c r="AE193" s="8"/>
      <c r="AF193" s="34"/>
      <c r="AG193" s="32">
        <f t="shared" si="40"/>
        <v>16492.152000000002</v>
      </c>
      <c r="AH193" s="32">
        <v>57500</v>
      </c>
      <c r="AI193" s="32">
        <f t="shared" si="49"/>
        <v>221813.511</v>
      </c>
    </row>
    <row r="194" spans="1:35" ht="15.75">
      <c r="A194" s="3" t="s">
        <v>120</v>
      </c>
      <c r="B194" s="4" t="s">
        <v>91</v>
      </c>
      <c r="C194" s="3" t="s">
        <v>111</v>
      </c>
      <c r="D194" s="26">
        <v>3478.3</v>
      </c>
      <c r="E194" s="19">
        <f t="shared" si="41"/>
        <v>15026.256000000001</v>
      </c>
      <c r="F194" s="19">
        <f t="shared" si="42"/>
        <v>49670.123999999996</v>
      </c>
      <c r="G194" s="19">
        <f t="shared" si="43"/>
        <v>49252.728</v>
      </c>
      <c r="H194" s="19">
        <f t="shared" si="44"/>
        <v>10852.296</v>
      </c>
      <c r="I194" s="19">
        <f t="shared" si="45"/>
        <v>2504.376</v>
      </c>
      <c r="J194" s="19">
        <f t="shared" si="46"/>
        <v>7513.128000000001</v>
      </c>
      <c r="K194" s="19">
        <f>75*6*2</f>
        <v>900</v>
      </c>
      <c r="L194" s="8">
        <f>144.73*87</f>
        <v>12591.509999999998</v>
      </c>
      <c r="M194" s="8"/>
      <c r="N194" s="8"/>
      <c r="O194" s="24">
        <f t="shared" si="36"/>
        <v>9565.325</v>
      </c>
      <c r="P194" s="32">
        <f t="shared" si="47"/>
        <v>157875.74300000005</v>
      </c>
      <c r="Q194" s="32">
        <f>D194*1.27*5+D194*1.34*7</f>
        <v>54713.65900000001</v>
      </c>
      <c r="R194" s="34">
        <f t="shared" si="37"/>
        <v>128349.27000000002</v>
      </c>
      <c r="S194" s="19"/>
      <c r="T194" s="19"/>
      <c r="U194" s="19"/>
      <c r="V194" s="19"/>
      <c r="W194" s="19"/>
      <c r="X194" s="19"/>
      <c r="Y194" s="32">
        <f t="shared" si="48"/>
        <v>0</v>
      </c>
      <c r="Z194" s="32">
        <f t="shared" si="38"/>
        <v>53844.084</v>
      </c>
      <c r="AA194" s="32"/>
      <c r="AB194" s="32">
        <f t="shared" si="51"/>
        <v>20452.404</v>
      </c>
      <c r="AC194" s="34">
        <f t="shared" si="39"/>
        <v>9741.640000000001</v>
      </c>
      <c r="AD194" s="8"/>
      <c r="AE194" s="8"/>
      <c r="AF194" s="34"/>
      <c r="AG194" s="32">
        <f t="shared" si="40"/>
        <v>49252.728</v>
      </c>
      <c r="AH194" s="32"/>
      <c r="AI194" s="32">
        <f t="shared" si="49"/>
        <v>474229.52800000005</v>
      </c>
    </row>
    <row r="195" spans="1:35" ht="15.75">
      <c r="A195" s="3" t="s">
        <v>120</v>
      </c>
      <c r="B195" s="4" t="s">
        <v>46</v>
      </c>
      <c r="C195" s="3" t="s">
        <v>66</v>
      </c>
      <c r="D195" s="26">
        <v>14044.8</v>
      </c>
      <c r="E195" s="19">
        <f t="shared" si="41"/>
        <v>60673.53599999999</v>
      </c>
      <c r="F195" s="19">
        <f t="shared" si="42"/>
        <v>200559.74399999998</v>
      </c>
      <c r="G195" s="19">
        <f t="shared" si="43"/>
        <v>198874.36799999996</v>
      </c>
      <c r="H195" s="19">
        <f t="shared" si="44"/>
        <v>43819.776</v>
      </c>
      <c r="I195" s="19">
        <f t="shared" si="45"/>
        <v>10112.255999999998</v>
      </c>
      <c r="J195" s="19">
        <f t="shared" si="46"/>
        <v>30336.767999999996</v>
      </c>
      <c r="K195" s="19">
        <f>251*6*2</f>
        <v>3012</v>
      </c>
      <c r="L195" s="8">
        <f>144.73*269</f>
        <v>38932.369999999995</v>
      </c>
      <c r="M195" s="8">
        <f>7*142.42*1.5</f>
        <v>1495.4099999999999</v>
      </c>
      <c r="N195" s="8"/>
      <c r="O195" s="24">
        <f aca="true" t="shared" si="53" ref="O195:O255">D195*0.55*5</f>
        <v>38623.200000000004</v>
      </c>
      <c r="P195" s="32">
        <f t="shared" si="47"/>
        <v>626439.428</v>
      </c>
      <c r="Q195" s="32">
        <f>D195*1.27*5+D195*1.34*7</f>
        <v>220924.704</v>
      </c>
      <c r="R195" s="34">
        <f aca="true" t="shared" si="54" ref="R195:R255">D195*3.18*5+D195*3*7</f>
        <v>518253.11999999994</v>
      </c>
      <c r="S195" s="19"/>
      <c r="T195" s="19"/>
      <c r="U195" s="19"/>
      <c r="V195" s="19"/>
      <c r="W195" s="19"/>
      <c r="X195" s="19"/>
      <c r="Y195" s="32">
        <f t="shared" si="48"/>
        <v>0</v>
      </c>
      <c r="Z195" s="32">
        <f aca="true" t="shared" si="55" ref="Z195:Z255">D195*1.29*12</f>
        <v>217413.50400000002</v>
      </c>
      <c r="AA195" s="32">
        <f>D195*1.01*5+0.96*D195*7</f>
        <v>165307.29599999997</v>
      </c>
      <c r="AB195" s="32">
        <f t="shared" si="51"/>
        <v>82583.424</v>
      </c>
      <c r="AC195" s="34">
        <f aca="true" t="shared" si="56" ref="AC195:AC255">D195*0.4*7+0.48*5</f>
        <v>39327.840000000004</v>
      </c>
      <c r="AD195" s="8">
        <v>210728.62</v>
      </c>
      <c r="AE195" s="8">
        <v>12165.58</v>
      </c>
      <c r="AF195" s="34">
        <f>SUM(AD195:AE195)</f>
        <v>222894.19999999998</v>
      </c>
      <c r="AG195" s="32">
        <f aca="true" t="shared" si="57" ref="AG195:AG255">D195*1.18*12</f>
        <v>198874.36799999996</v>
      </c>
      <c r="AH195" s="32"/>
      <c r="AI195" s="32">
        <f t="shared" si="49"/>
        <v>2292017.8839999996</v>
      </c>
    </row>
    <row r="196" spans="1:35" ht="15.75">
      <c r="A196" s="3" t="s">
        <v>120</v>
      </c>
      <c r="B196" s="4" t="s">
        <v>47</v>
      </c>
      <c r="C196" s="3" t="s">
        <v>66</v>
      </c>
      <c r="D196" s="26">
        <v>16045.9</v>
      </c>
      <c r="E196" s="19">
        <f aca="true" t="shared" si="58" ref="E196:E255">D196*0.36*12</f>
        <v>69318.288</v>
      </c>
      <c r="F196" s="19">
        <f aca="true" t="shared" si="59" ref="F196:F255">D196*1.19*12</f>
        <v>229135.452</v>
      </c>
      <c r="G196" s="19">
        <f aca="true" t="shared" si="60" ref="G196:G255">D196*1.18*12</f>
        <v>227209.94400000002</v>
      </c>
      <c r="H196" s="19">
        <f aca="true" t="shared" si="61" ref="H196:H255">D196*0.26*12</f>
        <v>50063.208</v>
      </c>
      <c r="I196" s="19">
        <f aca="true" t="shared" si="62" ref="I196:I255">D196*0.06*12</f>
        <v>11553.047999999999</v>
      </c>
      <c r="J196" s="19">
        <f aca="true" t="shared" si="63" ref="J196:J255">D196*0.18*12</f>
        <v>34659.144</v>
      </c>
      <c r="K196" s="19">
        <f>323*6*2</f>
        <v>3876</v>
      </c>
      <c r="L196" s="8">
        <f>144.73*2</f>
        <v>289.46</v>
      </c>
      <c r="M196" s="8">
        <f>9*142.42*1.5</f>
        <v>1922.67</v>
      </c>
      <c r="N196" s="8"/>
      <c r="O196" s="24">
        <f t="shared" si="53"/>
        <v>44126.225000000006</v>
      </c>
      <c r="P196" s="32">
        <f aca="true" t="shared" si="64" ref="P196:P255">SUM(E196:O196)</f>
        <v>672153.4389999999</v>
      </c>
      <c r="Q196" s="32">
        <f>D196*1.27*5+D196*1.34*7</f>
        <v>252402.00700000004</v>
      </c>
      <c r="R196" s="34">
        <f t="shared" si="54"/>
        <v>592093.71</v>
      </c>
      <c r="S196" s="19"/>
      <c r="T196" s="19"/>
      <c r="U196" s="19"/>
      <c r="V196" s="19"/>
      <c r="W196" s="19"/>
      <c r="X196" s="19"/>
      <c r="Y196" s="32">
        <f aca="true" t="shared" si="65" ref="Y196:Y255">SUM(S196:X196)</f>
        <v>0</v>
      </c>
      <c r="Z196" s="32">
        <f t="shared" si="55"/>
        <v>248390.532</v>
      </c>
      <c r="AA196" s="32">
        <f>D196*1.01*5+0.96*D196*7</f>
        <v>188860.243</v>
      </c>
      <c r="AB196" s="32">
        <f t="shared" si="51"/>
        <v>94349.89199999999</v>
      </c>
      <c r="AC196" s="34">
        <f t="shared" si="56"/>
        <v>44930.920000000006</v>
      </c>
      <c r="AD196" s="8">
        <v>270936.8</v>
      </c>
      <c r="AE196" s="8">
        <v>15641.45</v>
      </c>
      <c r="AF196" s="34">
        <f>SUM(AD196:AE196)</f>
        <v>286578.25</v>
      </c>
      <c r="AG196" s="32">
        <f t="shared" si="57"/>
        <v>227209.94400000002</v>
      </c>
      <c r="AH196" s="32"/>
      <c r="AI196" s="32">
        <f aca="true" t="shared" si="66" ref="AI196:AI255">P196+Q196+R196+Y196+Z196+AA196+AB196+AC196+AF196+AG196+AH196</f>
        <v>2606968.937</v>
      </c>
    </row>
    <row r="197" spans="1:35" ht="15.75">
      <c r="A197" s="3" t="s">
        <v>120</v>
      </c>
      <c r="B197" s="4" t="s">
        <v>47</v>
      </c>
      <c r="C197" s="3" t="s">
        <v>111</v>
      </c>
      <c r="D197" s="26">
        <v>19874.5</v>
      </c>
      <c r="E197" s="19">
        <f t="shared" si="58"/>
        <v>85857.84</v>
      </c>
      <c r="F197" s="19">
        <f t="shared" si="59"/>
        <v>283807.86</v>
      </c>
      <c r="G197" s="19">
        <f t="shared" si="60"/>
        <v>281422.92</v>
      </c>
      <c r="H197" s="19">
        <f t="shared" si="61"/>
        <v>62008.44</v>
      </c>
      <c r="I197" s="19">
        <f t="shared" si="62"/>
        <v>14309.64</v>
      </c>
      <c r="J197" s="19">
        <f t="shared" si="63"/>
        <v>42928.92</v>
      </c>
      <c r="K197" s="19">
        <f>394*6*2</f>
        <v>4728</v>
      </c>
      <c r="L197" s="8">
        <f>144.73*2</f>
        <v>289.46</v>
      </c>
      <c r="M197" s="8">
        <f>11*142.42*1.5</f>
        <v>2349.93</v>
      </c>
      <c r="N197" s="8"/>
      <c r="O197" s="24">
        <f t="shared" si="53"/>
        <v>54654.875</v>
      </c>
      <c r="P197" s="32">
        <f t="shared" si="64"/>
        <v>832357.8849999999</v>
      </c>
      <c r="Q197" s="32">
        <f>D197*1.27*5+D197*1.34*7</f>
        <v>312625.885</v>
      </c>
      <c r="R197" s="34">
        <f t="shared" si="54"/>
        <v>733369.05</v>
      </c>
      <c r="S197" s="19"/>
      <c r="T197" s="19"/>
      <c r="U197" s="19"/>
      <c r="V197" s="19"/>
      <c r="W197" s="19"/>
      <c r="X197" s="19"/>
      <c r="Y197" s="32">
        <f t="shared" si="65"/>
        <v>0</v>
      </c>
      <c r="Z197" s="32">
        <f t="shared" si="55"/>
        <v>307657.26</v>
      </c>
      <c r="AA197" s="32">
        <f>D197*1.01*5+0.96*D197*7</f>
        <v>233922.865</v>
      </c>
      <c r="AB197" s="32">
        <f t="shared" si="51"/>
        <v>116862.06</v>
      </c>
      <c r="AC197" s="34">
        <f t="shared" si="56"/>
        <v>55651</v>
      </c>
      <c r="AD197" s="8">
        <v>331144.98</v>
      </c>
      <c r="AE197" s="8">
        <v>19117.33</v>
      </c>
      <c r="AF197" s="34">
        <f>SUM(AD197:AE197)</f>
        <v>350262.31</v>
      </c>
      <c r="AG197" s="32">
        <f t="shared" si="57"/>
        <v>281422.92</v>
      </c>
      <c r="AH197" s="32"/>
      <c r="AI197" s="32">
        <f t="shared" si="66"/>
        <v>3224131.2350000003</v>
      </c>
    </row>
    <row r="198" spans="1:35" ht="15.75">
      <c r="A198" s="3" t="s">
        <v>120</v>
      </c>
      <c r="B198" s="4" t="s">
        <v>128</v>
      </c>
      <c r="C198" s="3" t="s">
        <v>2</v>
      </c>
      <c r="D198" s="26">
        <v>946.7</v>
      </c>
      <c r="E198" s="19">
        <f t="shared" si="58"/>
        <v>4089.744</v>
      </c>
      <c r="F198" s="19">
        <f t="shared" si="59"/>
        <v>13518.876</v>
      </c>
      <c r="G198" s="19">
        <f t="shared" si="60"/>
        <v>13405.272</v>
      </c>
      <c r="H198" s="19">
        <f t="shared" si="61"/>
        <v>2953.704</v>
      </c>
      <c r="I198" s="19">
        <f t="shared" si="62"/>
        <v>681.624</v>
      </c>
      <c r="J198" s="19">
        <f t="shared" si="63"/>
        <v>2044.872</v>
      </c>
      <c r="K198" s="19">
        <f>24*8*4+24*6*2</f>
        <v>1056</v>
      </c>
      <c r="L198" s="8">
        <f>144.73*30</f>
        <v>4341.9</v>
      </c>
      <c r="M198" s="8"/>
      <c r="N198" s="8"/>
      <c r="O198" s="24">
        <f t="shared" si="53"/>
        <v>2603.425</v>
      </c>
      <c r="P198" s="32">
        <f t="shared" si="64"/>
        <v>44695.41700000001</v>
      </c>
      <c r="Q198" s="32"/>
      <c r="R198" s="34">
        <f t="shared" si="54"/>
        <v>34933.23000000001</v>
      </c>
      <c r="S198" s="19"/>
      <c r="T198" s="19"/>
      <c r="U198" s="19"/>
      <c r="V198" s="19"/>
      <c r="W198" s="19"/>
      <c r="X198" s="19">
        <v>2000</v>
      </c>
      <c r="Y198" s="32">
        <f t="shared" si="65"/>
        <v>2000</v>
      </c>
      <c r="Z198" s="32">
        <f t="shared" si="55"/>
        <v>14654.916000000001</v>
      </c>
      <c r="AA198" s="32"/>
      <c r="AB198" s="32">
        <f t="shared" si="51"/>
        <v>5566.5960000000005</v>
      </c>
      <c r="AC198" s="34">
        <f t="shared" si="56"/>
        <v>2653.1600000000003</v>
      </c>
      <c r="AD198" s="8"/>
      <c r="AE198" s="8"/>
      <c r="AF198" s="34"/>
      <c r="AG198" s="32">
        <f t="shared" si="57"/>
        <v>13405.272</v>
      </c>
      <c r="AH198" s="32">
        <v>57500</v>
      </c>
      <c r="AI198" s="32">
        <f t="shared" si="66"/>
        <v>175408.59100000001</v>
      </c>
    </row>
    <row r="199" spans="1:35" ht="15.75">
      <c r="A199" s="3" t="s">
        <v>120</v>
      </c>
      <c r="B199" s="4" t="s">
        <v>3</v>
      </c>
      <c r="C199" s="3" t="s">
        <v>2</v>
      </c>
      <c r="D199" s="26">
        <v>1502.6</v>
      </c>
      <c r="E199" s="19">
        <f t="shared" si="58"/>
        <v>6491.231999999999</v>
      </c>
      <c r="F199" s="19">
        <f t="shared" si="59"/>
        <v>21457.127999999997</v>
      </c>
      <c r="G199" s="19">
        <f t="shared" si="60"/>
        <v>21276.816</v>
      </c>
      <c r="H199" s="19">
        <f t="shared" si="61"/>
        <v>4688.112</v>
      </c>
      <c r="I199" s="19">
        <f t="shared" si="62"/>
        <v>1081.8719999999998</v>
      </c>
      <c r="J199" s="19">
        <f t="shared" si="63"/>
        <v>3245.6159999999995</v>
      </c>
      <c r="K199" s="19">
        <f>36*8*4+36*6*2</f>
        <v>1584</v>
      </c>
      <c r="L199" s="8">
        <f>144.73*33</f>
        <v>4776.089999999999</v>
      </c>
      <c r="M199" s="8"/>
      <c r="N199" s="8">
        <f>878*20.77</f>
        <v>18236.06</v>
      </c>
      <c r="O199" s="24">
        <f t="shared" si="53"/>
        <v>4132.150000000001</v>
      </c>
      <c r="P199" s="32">
        <f t="shared" si="64"/>
        <v>86969.07599999999</v>
      </c>
      <c r="Q199" s="32"/>
      <c r="R199" s="34">
        <f t="shared" si="54"/>
        <v>55445.939999999995</v>
      </c>
      <c r="S199" s="19"/>
      <c r="T199" s="19"/>
      <c r="U199" s="19"/>
      <c r="V199" s="19"/>
      <c r="W199" s="19">
        <f>2*220</f>
        <v>440</v>
      </c>
      <c r="X199" s="19"/>
      <c r="Y199" s="32">
        <f t="shared" si="65"/>
        <v>440</v>
      </c>
      <c r="Z199" s="32">
        <f t="shared" si="55"/>
        <v>23260.248</v>
      </c>
      <c r="AA199" s="32"/>
      <c r="AB199" s="32">
        <f t="shared" si="51"/>
        <v>8835.287999999999</v>
      </c>
      <c r="AC199" s="34">
        <f t="shared" si="56"/>
        <v>4209.679999999999</v>
      </c>
      <c r="AD199" s="8"/>
      <c r="AE199" s="8"/>
      <c r="AF199" s="34"/>
      <c r="AG199" s="32">
        <f t="shared" si="57"/>
        <v>21276.816</v>
      </c>
      <c r="AH199" s="32">
        <v>57500</v>
      </c>
      <c r="AI199" s="32">
        <f t="shared" si="66"/>
        <v>257937.04799999995</v>
      </c>
    </row>
    <row r="200" spans="1:35" ht="15.75">
      <c r="A200" s="5" t="s">
        <v>120</v>
      </c>
      <c r="B200" s="5" t="s">
        <v>65</v>
      </c>
      <c r="C200" s="6" t="s">
        <v>2</v>
      </c>
      <c r="D200" s="30">
        <v>1563.8</v>
      </c>
      <c r="E200" s="19">
        <f t="shared" si="58"/>
        <v>6755.616</v>
      </c>
      <c r="F200" s="19">
        <f t="shared" si="59"/>
        <v>22331.064</v>
      </c>
      <c r="G200" s="19">
        <f t="shared" si="60"/>
        <v>22143.408</v>
      </c>
      <c r="H200" s="19">
        <f t="shared" si="61"/>
        <v>4879.0560000000005</v>
      </c>
      <c r="I200" s="19">
        <f t="shared" si="62"/>
        <v>1125.936</v>
      </c>
      <c r="J200" s="19">
        <f t="shared" si="63"/>
        <v>3377.808</v>
      </c>
      <c r="K200" s="19">
        <f>4*6*2</f>
        <v>48</v>
      </c>
      <c r="L200" s="8">
        <f>144.73*74</f>
        <v>10710.019999999999</v>
      </c>
      <c r="M200" s="8"/>
      <c r="N200" s="8">
        <f>682*20.77</f>
        <v>14165.14</v>
      </c>
      <c r="O200" s="24">
        <f t="shared" si="53"/>
        <v>4300.45</v>
      </c>
      <c r="P200" s="32">
        <f t="shared" si="64"/>
        <v>89836.49799999999</v>
      </c>
      <c r="Q200" s="32"/>
      <c r="R200" s="34">
        <f t="shared" si="54"/>
        <v>57704.219999999994</v>
      </c>
      <c r="S200" s="19"/>
      <c r="T200" s="19"/>
      <c r="U200" s="19"/>
      <c r="V200" s="19"/>
      <c r="W200" s="19"/>
      <c r="X200" s="19">
        <v>60000</v>
      </c>
      <c r="Y200" s="32">
        <f t="shared" si="65"/>
        <v>60000</v>
      </c>
      <c r="Z200" s="32">
        <f t="shared" si="55"/>
        <v>24207.624</v>
      </c>
      <c r="AA200" s="32"/>
      <c r="AB200" s="32">
        <f t="shared" si="51"/>
        <v>9195.144</v>
      </c>
      <c r="AC200" s="34">
        <f t="shared" si="56"/>
        <v>4381.039999999999</v>
      </c>
      <c r="AD200" s="8"/>
      <c r="AE200" s="8"/>
      <c r="AF200" s="34"/>
      <c r="AG200" s="32">
        <f t="shared" si="57"/>
        <v>22143.408</v>
      </c>
      <c r="AH200" s="32"/>
      <c r="AI200" s="32">
        <f t="shared" si="66"/>
        <v>267467.934</v>
      </c>
    </row>
    <row r="201" spans="1:35" ht="15.75">
      <c r="A201" s="3" t="s">
        <v>120</v>
      </c>
      <c r="B201" s="4" t="s">
        <v>129</v>
      </c>
      <c r="C201" s="3" t="s">
        <v>2</v>
      </c>
      <c r="D201" s="26">
        <v>1409.2</v>
      </c>
      <c r="E201" s="19">
        <f t="shared" si="58"/>
        <v>6087.744000000001</v>
      </c>
      <c r="F201" s="19">
        <f t="shared" si="59"/>
        <v>20123.375999999997</v>
      </c>
      <c r="G201" s="19">
        <f t="shared" si="60"/>
        <v>19954.272</v>
      </c>
      <c r="H201" s="19">
        <f t="shared" si="61"/>
        <v>4396.704000000001</v>
      </c>
      <c r="I201" s="19">
        <f t="shared" si="62"/>
        <v>1014.6239999999999</v>
      </c>
      <c r="J201" s="19">
        <f t="shared" si="63"/>
        <v>3043.8720000000003</v>
      </c>
      <c r="K201" s="19">
        <f>34*8*4+34*6*2</f>
        <v>1496</v>
      </c>
      <c r="L201" s="8">
        <f>144.73*2</f>
        <v>289.46</v>
      </c>
      <c r="M201" s="8"/>
      <c r="N201" s="8"/>
      <c r="O201" s="24">
        <f t="shared" si="53"/>
        <v>3875.3</v>
      </c>
      <c r="P201" s="32">
        <f t="shared" si="64"/>
        <v>60281.352</v>
      </c>
      <c r="Q201" s="32"/>
      <c r="R201" s="34">
        <f t="shared" si="54"/>
        <v>51999.48000000001</v>
      </c>
      <c r="S201" s="19"/>
      <c r="T201" s="19"/>
      <c r="U201" s="19"/>
      <c r="V201" s="19"/>
      <c r="W201" s="19"/>
      <c r="X201" s="19"/>
      <c r="Y201" s="32">
        <f t="shared" si="65"/>
        <v>0</v>
      </c>
      <c r="Z201" s="32">
        <f t="shared" si="55"/>
        <v>21814.416</v>
      </c>
      <c r="AA201" s="32"/>
      <c r="AB201" s="32">
        <f t="shared" si="51"/>
        <v>8286.096000000001</v>
      </c>
      <c r="AC201" s="34">
        <f t="shared" si="56"/>
        <v>3948.1600000000003</v>
      </c>
      <c r="AD201" s="8"/>
      <c r="AE201" s="8"/>
      <c r="AF201" s="34"/>
      <c r="AG201" s="32">
        <f t="shared" si="57"/>
        <v>19954.272</v>
      </c>
      <c r="AH201" s="32"/>
      <c r="AI201" s="32">
        <f t="shared" si="66"/>
        <v>166283.776</v>
      </c>
    </row>
    <row r="202" spans="1:35" ht="15.75">
      <c r="A202" s="3" t="s">
        <v>130</v>
      </c>
      <c r="B202" s="4" t="s">
        <v>122</v>
      </c>
      <c r="C202" s="3" t="s">
        <v>2</v>
      </c>
      <c r="D202" s="26">
        <v>3232.9</v>
      </c>
      <c r="E202" s="19">
        <f t="shared" si="58"/>
        <v>13966.128</v>
      </c>
      <c r="F202" s="19">
        <f t="shared" si="59"/>
        <v>46165.812</v>
      </c>
      <c r="G202" s="19">
        <f t="shared" si="60"/>
        <v>45777.864</v>
      </c>
      <c r="H202" s="19">
        <f t="shared" si="61"/>
        <v>10086.648000000001</v>
      </c>
      <c r="I202" s="19">
        <f t="shared" si="62"/>
        <v>2327.688</v>
      </c>
      <c r="J202" s="19">
        <f t="shared" si="63"/>
        <v>6983.064</v>
      </c>
      <c r="K202" s="19">
        <f>70*6*2</f>
        <v>840</v>
      </c>
      <c r="L202" s="8">
        <f>144.73*3</f>
        <v>434.18999999999994</v>
      </c>
      <c r="M202" s="8"/>
      <c r="N202" s="8"/>
      <c r="O202" s="24">
        <f t="shared" si="53"/>
        <v>8890.475000000002</v>
      </c>
      <c r="P202" s="32">
        <f t="shared" si="64"/>
        <v>135471.869</v>
      </c>
      <c r="Q202" s="32">
        <f>D202*1.27*5+D202*1.34*7</f>
        <v>50853.51700000001</v>
      </c>
      <c r="R202" s="34">
        <f t="shared" si="54"/>
        <v>119294.01000000001</v>
      </c>
      <c r="S202" s="19"/>
      <c r="T202" s="19"/>
      <c r="U202" s="19"/>
      <c r="V202" s="19"/>
      <c r="W202" s="19"/>
      <c r="X202" s="19"/>
      <c r="Y202" s="32">
        <f t="shared" si="65"/>
        <v>0</v>
      </c>
      <c r="Z202" s="32">
        <f t="shared" si="55"/>
        <v>50045.292</v>
      </c>
      <c r="AA202" s="32"/>
      <c r="AB202" s="32">
        <f t="shared" si="51"/>
        <v>19009.452</v>
      </c>
      <c r="AC202" s="34">
        <f t="shared" si="56"/>
        <v>9054.52</v>
      </c>
      <c r="AD202" s="8"/>
      <c r="AE202" s="8"/>
      <c r="AF202" s="34"/>
      <c r="AG202" s="32">
        <f t="shared" si="57"/>
        <v>45777.864</v>
      </c>
      <c r="AH202" s="32"/>
      <c r="AI202" s="32">
        <f t="shared" si="66"/>
        <v>429506.52400000003</v>
      </c>
    </row>
    <row r="203" spans="1:35" ht="15.75">
      <c r="A203" s="3" t="s">
        <v>130</v>
      </c>
      <c r="B203" s="4" t="s">
        <v>11</v>
      </c>
      <c r="C203" s="3" t="s">
        <v>2</v>
      </c>
      <c r="D203" s="29">
        <v>584.3</v>
      </c>
      <c r="E203" s="19">
        <f t="shared" si="58"/>
        <v>2524.176</v>
      </c>
      <c r="F203" s="19">
        <f t="shared" si="59"/>
        <v>8343.803999999998</v>
      </c>
      <c r="G203" s="19">
        <f t="shared" si="60"/>
        <v>8273.687999999998</v>
      </c>
      <c r="H203" s="19">
        <f t="shared" si="61"/>
        <v>1823.016</v>
      </c>
      <c r="I203" s="19">
        <f t="shared" si="62"/>
        <v>420.6959999999999</v>
      </c>
      <c r="J203" s="19">
        <f t="shared" si="63"/>
        <v>1262.088</v>
      </c>
      <c r="K203" s="19">
        <f>16*8*4+16*6*2</f>
        <v>704</v>
      </c>
      <c r="L203" s="8">
        <f>144.73*3</f>
        <v>434.18999999999994</v>
      </c>
      <c r="M203" s="8"/>
      <c r="N203" s="8"/>
      <c r="O203" s="24">
        <f t="shared" si="53"/>
        <v>1606.825</v>
      </c>
      <c r="P203" s="32">
        <f t="shared" si="64"/>
        <v>25392.482999999997</v>
      </c>
      <c r="Q203" s="32"/>
      <c r="R203" s="34">
        <f t="shared" si="54"/>
        <v>21560.67</v>
      </c>
      <c r="S203" s="19"/>
      <c r="T203" s="19"/>
      <c r="U203" s="19"/>
      <c r="V203" s="19"/>
      <c r="W203" s="19"/>
      <c r="X203" s="19"/>
      <c r="Y203" s="32">
        <f t="shared" si="65"/>
        <v>0</v>
      </c>
      <c r="Z203" s="32">
        <f t="shared" si="55"/>
        <v>9044.964</v>
      </c>
      <c r="AA203" s="32"/>
      <c r="AB203" s="32">
        <f t="shared" si="51"/>
        <v>3435.6839999999993</v>
      </c>
      <c r="AC203" s="34">
        <f t="shared" si="56"/>
        <v>1638.44</v>
      </c>
      <c r="AD203" s="8"/>
      <c r="AE203" s="8"/>
      <c r="AF203" s="34"/>
      <c r="AG203" s="32">
        <f t="shared" si="57"/>
        <v>8273.687999999998</v>
      </c>
      <c r="AH203" s="32"/>
      <c r="AI203" s="32">
        <f t="shared" si="66"/>
        <v>69345.92899999999</v>
      </c>
    </row>
    <row r="204" spans="1:35" ht="15.75">
      <c r="A204" s="3" t="s">
        <v>130</v>
      </c>
      <c r="B204" s="4" t="s">
        <v>12</v>
      </c>
      <c r="C204" s="3" t="s">
        <v>2</v>
      </c>
      <c r="D204" s="26">
        <v>676.3</v>
      </c>
      <c r="E204" s="19">
        <f t="shared" si="58"/>
        <v>2921.6159999999995</v>
      </c>
      <c r="F204" s="19">
        <f t="shared" si="59"/>
        <v>9657.563999999998</v>
      </c>
      <c r="G204" s="19">
        <f t="shared" si="60"/>
        <v>9576.408</v>
      </c>
      <c r="H204" s="19">
        <f t="shared" si="61"/>
        <v>2110.056</v>
      </c>
      <c r="I204" s="19">
        <f t="shared" si="62"/>
        <v>486.9359999999999</v>
      </c>
      <c r="J204" s="19">
        <f t="shared" si="63"/>
        <v>1460.8079999999998</v>
      </c>
      <c r="K204" s="19">
        <f>16*8*4+16*6*2</f>
        <v>704</v>
      </c>
      <c r="L204" s="8">
        <f>144.73*22</f>
        <v>3184.06</v>
      </c>
      <c r="M204" s="8"/>
      <c r="N204" s="8"/>
      <c r="O204" s="24">
        <f t="shared" si="53"/>
        <v>1859.8250000000003</v>
      </c>
      <c r="P204" s="32">
        <f t="shared" si="64"/>
        <v>31961.273</v>
      </c>
      <c r="Q204" s="32"/>
      <c r="R204" s="34">
        <f t="shared" si="54"/>
        <v>24955.47</v>
      </c>
      <c r="S204" s="19"/>
      <c r="T204" s="19"/>
      <c r="U204" s="19"/>
      <c r="V204" s="19"/>
      <c r="W204" s="19"/>
      <c r="X204" s="19"/>
      <c r="Y204" s="32">
        <f t="shared" si="65"/>
        <v>0</v>
      </c>
      <c r="Z204" s="32">
        <f t="shared" si="55"/>
        <v>10469.124</v>
      </c>
      <c r="AA204" s="32"/>
      <c r="AB204" s="32">
        <f t="shared" si="51"/>
        <v>3976.6439999999993</v>
      </c>
      <c r="AC204" s="34">
        <f t="shared" si="56"/>
        <v>1896.04</v>
      </c>
      <c r="AD204" s="8"/>
      <c r="AE204" s="8"/>
      <c r="AF204" s="34"/>
      <c r="AG204" s="32">
        <f t="shared" si="57"/>
        <v>9576.408</v>
      </c>
      <c r="AH204" s="32"/>
      <c r="AI204" s="32">
        <f t="shared" si="66"/>
        <v>82834.95899999999</v>
      </c>
    </row>
    <row r="205" spans="1:35" ht="15.75">
      <c r="A205" s="3" t="s">
        <v>130</v>
      </c>
      <c r="B205" s="4" t="s">
        <v>41</v>
      </c>
      <c r="C205" s="3" t="s">
        <v>2</v>
      </c>
      <c r="D205" s="26">
        <v>562.3</v>
      </c>
      <c r="E205" s="19">
        <f t="shared" si="58"/>
        <v>2429.1359999999995</v>
      </c>
      <c r="F205" s="19">
        <f t="shared" si="59"/>
        <v>8029.643999999999</v>
      </c>
      <c r="G205" s="19">
        <f t="shared" si="60"/>
        <v>7962.167999999999</v>
      </c>
      <c r="H205" s="19">
        <f t="shared" si="61"/>
        <v>1754.3759999999997</v>
      </c>
      <c r="I205" s="19">
        <f t="shared" si="62"/>
        <v>404.856</v>
      </c>
      <c r="J205" s="19">
        <f t="shared" si="63"/>
        <v>1214.5679999999998</v>
      </c>
      <c r="K205" s="19">
        <f>16*8*4+16*6*2</f>
        <v>704</v>
      </c>
      <c r="L205" s="8">
        <f>144.73*22</f>
        <v>3184.06</v>
      </c>
      <c r="M205" s="8"/>
      <c r="N205" s="8"/>
      <c r="O205" s="24">
        <f t="shared" si="53"/>
        <v>1546.3249999999998</v>
      </c>
      <c r="P205" s="32">
        <f t="shared" si="64"/>
        <v>27229.132999999998</v>
      </c>
      <c r="Q205" s="32"/>
      <c r="R205" s="34">
        <f t="shared" si="54"/>
        <v>20748.87</v>
      </c>
      <c r="S205" s="19"/>
      <c r="T205" s="19"/>
      <c r="U205" s="19"/>
      <c r="V205" s="19"/>
      <c r="W205" s="19"/>
      <c r="X205" s="19"/>
      <c r="Y205" s="32">
        <f t="shared" si="65"/>
        <v>0</v>
      </c>
      <c r="Z205" s="32">
        <f t="shared" si="55"/>
        <v>8704.403999999999</v>
      </c>
      <c r="AA205" s="32"/>
      <c r="AB205" s="32">
        <f t="shared" si="51"/>
        <v>3306.3239999999996</v>
      </c>
      <c r="AC205" s="34">
        <f t="shared" si="56"/>
        <v>1576.84</v>
      </c>
      <c r="AD205" s="8"/>
      <c r="AE205" s="8"/>
      <c r="AF205" s="34"/>
      <c r="AG205" s="32">
        <f t="shared" si="57"/>
        <v>7962.167999999999</v>
      </c>
      <c r="AH205" s="32"/>
      <c r="AI205" s="32">
        <f t="shared" si="66"/>
        <v>69527.73899999999</v>
      </c>
    </row>
    <row r="206" spans="1:35" ht="15.75">
      <c r="A206" s="3" t="s">
        <v>130</v>
      </c>
      <c r="B206" s="4" t="s">
        <v>65</v>
      </c>
      <c r="C206" s="3" t="s">
        <v>2</v>
      </c>
      <c r="D206" s="26">
        <v>274.5</v>
      </c>
      <c r="E206" s="19">
        <f t="shared" si="58"/>
        <v>1185.84</v>
      </c>
      <c r="F206" s="19">
        <f t="shared" si="59"/>
        <v>3919.8599999999997</v>
      </c>
      <c r="G206" s="19">
        <f t="shared" si="60"/>
        <v>3886.9199999999996</v>
      </c>
      <c r="H206" s="19">
        <f t="shared" si="61"/>
        <v>856.44</v>
      </c>
      <c r="I206" s="19">
        <f t="shared" si="62"/>
        <v>197.64</v>
      </c>
      <c r="J206" s="19">
        <f t="shared" si="63"/>
        <v>592.92</v>
      </c>
      <c r="K206" s="19">
        <f>8*6*2</f>
        <v>96</v>
      </c>
      <c r="L206" s="8">
        <f>144.73*12</f>
        <v>1736.7599999999998</v>
      </c>
      <c r="M206" s="8"/>
      <c r="N206" s="8"/>
      <c r="O206" s="24">
        <f t="shared" si="53"/>
        <v>754.8750000000001</v>
      </c>
      <c r="P206" s="32">
        <f t="shared" si="64"/>
        <v>13227.255</v>
      </c>
      <c r="Q206" s="32"/>
      <c r="R206" s="34">
        <f t="shared" si="54"/>
        <v>10129.05</v>
      </c>
      <c r="S206" s="19"/>
      <c r="T206" s="19"/>
      <c r="U206" s="19"/>
      <c r="V206" s="19"/>
      <c r="W206" s="19"/>
      <c r="X206" s="19"/>
      <c r="Y206" s="32">
        <f t="shared" si="65"/>
        <v>0</v>
      </c>
      <c r="Z206" s="32">
        <f t="shared" si="55"/>
        <v>4249.26</v>
      </c>
      <c r="AA206" s="32"/>
      <c r="AB206" s="32">
        <f t="shared" si="51"/>
        <v>1614.06</v>
      </c>
      <c r="AC206" s="34">
        <f t="shared" si="56"/>
        <v>771.0000000000001</v>
      </c>
      <c r="AD206" s="8"/>
      <c r="AE206" s="8"/>
      <c r="AF206" s="34"/>
      <c r="AG206" s="32">
        <f t="shared" si="57"/>
        <v>3886.9199999999996</v>
      </c>
      <c r="AH206" s="32"/>
      <c r="AI206" s="32">
        <f t="shared" si="66"/>
        <v>33877.545000000006</v>
      </c>
    </row>
    <row r="207" spans="1:35" ht="15.75">
      <c r="A207" s="3" t="s">
        <v>131</v>
      </c>
      <c r="B207" s="4" t="s">
        <v>81</v>
      </c>
      <c r="C207" s="3" t="s">
        <v>2</v>
      </c>
      <c r="D207" s="26">
        <v>3323.1</v>
      </c>
      <c r="E207" s="19">
        <f t="shared" si="58"/>
        <v>14355.792000000001</v>
      </c>
      <c r="F207" s="19">
        <f t="shared" si="59"/>
        <v>47453.867999999995</v>
      </c>
      <c r="G207" s="19">
        <f t="shared" si="60"/>
        <v>47055.096</v>
      </c>
      <c r="H207" s="19">
        <f t="shared" si="61"/>
        <v>10368.072</v>
      </c>
      <c r="I207" s="19">
        <f t="shared" si="62"/>
        <v>2392.632</v>
      </c>
      <c r="J207" s="19">
        <f t="shared" si="63"/>
        <v>7177.896000000001</v>
      </c>
      <c r="K207" s="19">
        <f>68*6*2</f>
        <v>816</v>
      </c>
      <c r="L207" s="8">
        <f>144.73*3</f>
        <v>434.18999999999994</v>
      </c>
      <c r="M207" s="8"/>
      <c r="N207" s="8"/>
      <c r="O207" s="24">
        <f t="shared" si="53"/>
        <v>9138.525000000001</v>
      </c>
      <c r="P207" s="32">
        <f t="shared" si="64"/>
        <v>139192.071</v>
      </c>
      <c r="Q207" s="32">
        <f>D207*1.27*5+D207*1.34*7</f>
        <v>52272.363</v>
      </c>
      <c r="R207" s="34">
        <f t="shared" si="54"/>
        <v>122622.38999999998</v>
      </c>
      <c r="S207" s="19"/>
      <c r="T207" s="19"/>
      <c r="U207" s="19"/>
      <c r="V207" s="19"/>
      <c r="W207" s="19"/>
      <c r="X207" s="19">
        <v>80000</v>
      </c>
      <c r="Y207" s="32">
        <f t="shared" si="65"/>
        <v>80000</v>
      </c>
      <c r="Z207" s="32">
        <f t="shared" si="55"/>
        <v>51441.588</v>
      </c>
      <c r="AA207" s="32"/>
      <c r="AB207" s="32">
        <f t="shared" si="51"/>
        <v>19539.828</v>
      </c>
      <c r="AC207" s="34">
        <f t="shared" si="56"/>
        <v>9307.08</v>
      </c>
      <c r="AD207" s="8"/>
      <c r="AE207" s="8"/>
      <c r="AF207" s="34"/>
      <c r="AG207" s="32">
        <f t="shared" si="57"/>
        <v>47055.096</v>
      </c>
      <c r="AH207" s="32">
        <v>57500</v>
      </c>
      <c r="AI207" s="32">
        <f t="shared" si="66"/>
        <v>578930.416</v>
      </c>
    </row>
    <row r="208" spans="1:35" ht="15.75">
      <c r="A208" s="5" t="s">
        <v>131</v>
      </c>
      <c r="B208" s="5" t="s">
        <v>132</v>
      </c>
      <c r="C208" s="6" t="s">
        <v>2</v>
      </c>
      <c r="D208" s="26">
        <v>95.1</v>
      </c>
      <c r="E208" s="19">
        <f t="shared" si="58"/>
        <v>410.832</v>
      </c>
      <c r="F208" s="19">
        <f t="shared" si="59"/>
        <v>1358.0279999999998</v>
      </c>
      <c r="G208" s="19">
        <f t="shared" si="60"/>
        <v>1346.616</v>
      </c>
      <c r="H208" s="19">
        <f t="shared" si="61"/>
        <v>296.712</v>
      </c>
      <c r="I208" s="19">
        <f t="shared" si="62"/>
        <v>68.472</v>
      </c>
      <c r="J208" s="19">
        <f t="shared" si="63"/>
        <v>205.416</v>
      </c>
      <c r="K208" s="19">
        <f>2*230</f>
        <v>460</v>
      </c>
      <c r="L208" s="8"/>
      <c r="M208" s="8"/>
      <c r="N208" s="8"/>
      <c r="O208" s="24">
        <f t="shared" si="53"/>
        <v>261.525</v>
      </c>
      <c r="P208" s="32">
        <f t="shared" si="64"/>
        <v>4407.601</v>
      </c>
      <c r="Q208" s="32"/>
      <c r="R208" s="34">
        <f t="shared" si="54"/>
        <v>3509.1899999999996</v>
      </c>
      <c r="S208" s="19"/>
      <c r="T208" s="19"/>
      <c r="U208" s="19"/>
      <c r="V208" s="19"/>
      <c r="W208" s="19"/>
      <c r="X208" s="19"/>
      <c r="Y208" s="32">
        <f t="shared" si="65"/>
        <v>0</v>
      </c>
      <c r="Z208" s="32">
        <f t="shared" si="55"/>
        <v>1472.1480000000001</v>
      </c>
      <c r="AA208" s="32"/>
      <c r="AB208" s="32">
        <f t="shared" si="51"/>
        <v>559.188</v>
      </c>
      <c r="AC208" s="34">
        <f t="shared" si="56"/>
        <v>268.67999999999995</v>
      </c>
      <c r="AD208" s="8"/>
      <c r="AE208" s="8"/>
      <c r="AF208" s="34"/>
      <c r="AG208" s="32">
        <f t="shared" si="57"/>
        <v>1346.616</v>
      </c>
      <c r="AH208" s="32"/>
      <c r="AI208" s="32">
        <f t="shared" si="66"/>
        <v>11563.422999999999</v>
      </c>
    </row>
    <row r="209" spans="1:35" ht="15.75">
      <c r="A209" s="3" t="s">
        <v>133</v>
      </c>
      <c r="B209" s="4" t="s">
        <v>34</v>
      </c>
      <c r="C209" s="3" t="s">
        <v>2</v>
      </c>
      <c r="D209" s="26">
        <v>509.2</v>
      </c>
      <c r="E209" s="19">
        <f t="shared" si="58"/>
        <v>2199.7439999999997</v>
      </c>
      <c r="F209" s="19">
        <f t="shared" si="59"/>
        <v>7271.376</v>
      </c>
      <c r="G209" s="19">
        <f t="shared" si="60"/>
        <v>7210.272</v>
      </c>
      <c r="H209" s="19">
        <f t="shared" si="61"/>
        <v>1588.704</v>
      </c>
      <c r="I209" s="19">
        <f t="shared" si="62"/>
        <v>366.624</v>
      </c>
      <c r="J209" s="19">
        <f t="shared" si="63"/>
        <v>1099.8719999999998</v>
      </c>
      <c r="K209" s="19">
        <f>12*8*4+12*6*2</f>
        <v>528</v>
      </c>
      <c r="L209" s="8">
        <f>144.73*16</f>
        <v>2315.68</v>
      </c>
      <c r="M209" s="8"/>
      <c r="N209" s="8">
        <f>105*20.77</f>
        <v>2180.85</v>
      </c>
      <c r="O209" s="24">
        <f t="shared" si="53"/>
        <v>1400.3</v>
      </c>
      <c r="P209" s="32">
        <f t="shared" si="64"/>
        <v>26161.422</v>
      </c>
      <c r="Q209" s="32">
        <f>D209*1.27*5+D209*1.34*7</f>
        <v>8009.716</v>
      </c>
      <c r="R209" s="34">
        <f t="shared" si="54"/>
        <v>18789.48</v>
      </c>
      <c r="S209" s="19"/>
      <c r="T209" s="19"/>
      <c r="U209" s="19"/>
      <c r="V209" s="19"/>
      <c r="W209" s="19"/>
      <c r="X209" s="19"/>
      <c r="Y209" s="32">
        <f t="shared" si="65"/>
        <v>0</v>
      </c>
      <c r="Z209" s="32">
        <f t="shared" si="55"/>
        <v>7882.416000000001</v>
      </c>
      <c r="AA209" s="32"/>
      <c r="AB209" s="32">
        <f t="shared" si="51"/>
        <v>2994.0959999999995</v>
      </c>
      <c r="AC209" s="34">
        <f t="shared" si="56"/>
        <v>1428.16</v>
      </c>
      <c r="AD209" s="8"/>
      <c r="AE209" s="8"/>
      <c r="AF209" s="34"/>
      <c r="AG209" s="32">
        <f t="shared" si="57"/>
        <v>7210.272</v>
      </c>
      <c r="AH209" s="32">
        <v>57500</v>
      </c>
      <c r="AI209" s="32">
        <f t="shared" si="66"/>
        <v>129975.562</v>
      </c>
    </row>
    <row r="210" spans="1:35" ht="15.75">
      <c r="A210" s="3" t="s">
        <v>134</v>
      </c>
      <c r="B210" s="4" t="s">
        <v>1</v>
      </c>
      <c r="C210" s="3" t="s">
        <v>2</v>
      </c>
      <c r="D210" s="29">
        <v>538.9</v>
      </c>
      <c r="E210" s="19">
        <f t="shared" si="58"/>
        <v>2328.048</v>
      </c>
      <c r="F210" s="19">
        <f t="shared" si="59"/>
        <v>7695.491999999999</v>
      </c>
      <c r="G210" s="19">
        <f t="shared" si="60"/>
        <v>7630.823999999999</v>
      </c>
      <c r="H210" s="19">
        <f t="shared" si="61"/>
        <v>1681.368</v>
      </c>
      <c r="I210" s="19">
        <f t="shared" si="62"/>
        <v>388.0079999999999</v>
      </c>
      <c r="J210" s="19">
        <f t="shared" si="63"/>
        <v>1164.024</v>
      </c>
      <c r="K210" s="19">
        <f>8*8*4+8*6*2</f>
        <v>352</v>
      </c>
      <c r="L210" s="8"/>
      <c r="M210" s="8"/>
      <c r="N210" s="8">
        <f>501*20.77</f>
        <v>10405.77</v>
      </c>
      <c r="O210" s="24">
        <f t="shared" si="53"/>
        <v>1481.9750000000001</v>
      </c>
      <c r="P210" s="32">
        <f t="shared" si="64"/>
        <v>33127.509</v>
      </c>
      <c r="Q210" s="32"/>
      <c r="R210" s="34">
        <f t="shared" si="54"/>
        <v>19885.409999999996</v>
      </c>
      <c r="S210" s="19"/>
      <c r="T210" s="19"/>
      <c r="U210" s="19"/>
      <c r="V210" s="19"/>
      <c r="W210" s="19"/>
      <c r="X210" s="19"/>
      <c r="Y210" s="32">
        <f t="shared" si="65"/>
        <v>0</v>
      </c>
      <c r="Z210" s="32">
        <f t="shared" si="55"/>
        <v>8342.172</v>
      </c>
      <c r="AA210" s="32"/>
      <c r="AB210" s="32">
        <f t="shared" si="51"/>
        <v>3168.732</v>
      </c>
      <c r="AC210" s="34">
        <f t="shared" si="56"/>
        <v>1511.3200000000002</v>
      </c>
      <c r="AD210" s="8"/>
      <c r="AE210" s="8"/>
      <c r="AF210" s="34"/>
      <c r="AG210" s="32">
        <f t="shared" si="57"/>
        <v>7630.823999999999</v>
      </c>
      <c r="AH210" s="32"/>
      <c r="AI210" s="32">
        <f t="shared" si="66"/>
        <v>73665.96699999999</v>
      </c>
    </row>
    <row r="211" spans="1:35" ht="15.75">
      <c r="A211" s="3" t="s">
        <v>134</v>
      </c>
      <c r="B211" s="4" t="s">
        <v>69</v>
      </c>
      <c r="C211" s="3" t="s">
        <v>2</v>
      </c>
      <c r="D211" s="26">
        <v>2037.5</v>
      </c>
      <c r="E211" s="19">
        <f t="shared" si="58"/>
        <v>8802</v>
      </c>
      <c r="F211" s="19">
        <f t="shared" si="59"/>
        <v>29095.5</v>
      </c>
      <c r="G211" s="19">
        <f t="shared" si="60"/>
        <v>28851</v>
      </c>
      <c r="H211" s="19">
        <f t="shared" si="61"/>
        <v>6357</v>
      </c>
      <c r="I211" s="19">
        <f t="shared" si="62"/>
        <v>1467</v>
      </c>
      <c r="J211" s="19">
        <f t="shared" si="63"/>
        <v>4401</v>
      </c>
      <c r="K211" s="19">
        <f>48*8*4+48*6*2</f>
        <v>2112</v>
      </c>
      <c r="L211" s="8">
        <f>144.73*3</f>
        <v>434.18999999999994</v>
      </c>
      <c r="M211" s="8"/>
      <c r="N211" s="8"/>
      <c r="O211" s="24">
        <f t="shared" si="53"/>
        <v>5603.125</v>
      </c>
      <c r="P211" s="32">
        <f t="shared" si="64"/>
        <v>87122.815</v>
      </c>
      <c r="Q211" s="32">
        <f>D211*1.27*5+D211*1.34*7</f>
        <v>32049.875</v>
      </c>
      <c r="R211" s="34">
        <f t="shared" si="54"/>
        <v>75183.75</v>
      </c>
      <c r="S211" s="19"/>
      <c r="T211" s="19"/>
      <c r="U211" s="19"/>
      <c r="V211" s="19"/>
      <c r="W211" s="19"/>
      <c r="X211" s="19"/>
      <c r="Y211" s="32">
        <f t="shared" si="65"/>
        <v>0</v>
      </c>
      <c r="Z211" s="32">
        <f t="shared" si="55"/>
        <v>31540.5</v>
      </c>
      <c r="AA211" s="32"/>
      <c r="AB211" s="32">
        <f t="shared" si="51"/>
        <v>11980.5</v>
      </c>
      <c r="AC211" s="34">
        <f t="shared" si="56"/>
        <v>5707.4</v>
      </c>
      <c r="AD211" s="8"/>
      <c r="AE211" s="8"/>
      <c r="AF211" s="34"/>
      <c r="AG211" s="32">
        <f t="shared" si="57"/>
        <v>28851</v>
      </c>
      <c r="AH211" s="32"/>
      <c r="AI211" s="32">
        <f t="shared" si="66"/>
        <v>272435.83999999997</v>
      </c>
    </row>
    <row r="212" spans="1:35" ht="15.75">
      <c r="A212" s="3" t="s">
        <v>134</v>
      </c>
      <c r="B212" s="4" t="s">
        <v>87</v>
      </c>
      <c r="C212" s="3" t="s">
        <v>2</v>
      </c>
      <c r="D212" s="26">
        <v>2561.4</v>
      </c>
      <c r="E212" s="19">
        <f t="shared" si="58"/>
        <v>11065.248</v>
      </c>
      <c r="F212" s="19">
        <f t="shared" si="59"/>
        <v>36576.792</v>
      </c>
      <c r="G212" s="19">
        <f t="shared" si="60"/>
        <v>36269.424</v>
      </c>
      <c r="H212" s="19">
        <f t="shared" si="61"/>
        <v>7991.568000000001</v>
      </c>
      <c r="I212" s="19">
        <f t="shared" si="62"/>
        <v>1844.208</v>
      </c>
      <c r="J212" s="19">
        <f t="shared" si="63"/>
        <v>5532.624</v>
      </c>
      <c r="K212" s="19">
        <f>60*8+60*6*2</f>
        <v>1200</v>
      </c>
      <c r="L212" s="8">
        <f>144.73*3</f>
        <v>434.18999999999994</v>
      </c>
      <c r="M212" s="8"/>
      <c r="N212" s="8">
        <f>894*20.77</f>
        <v>18568.38</v>
      </c>
      <c r="O212" s="24">
        <f t="shared" si="53"/>
        <v>7043.850000000001</v>
      </c>
      <c r="P212" s="32">
        <f t="shared" si="64"/>
        <v>126526.28400000001</v>
      </c>
      <c r="Q212" s="32">
        <f>D212*1.27*5+D212*1.34*7</f>
        <v>40290.822</v>
      </c>
      <c r="R212" s="34">
        <f t="shared" si="54"/>
        <v>94515.66</v>
      </c>
      <c r="S212" s="19"/>
      <c r="T212" s="19"/>
      <c r="U212" s="19"/>
      <c r="V212" s="19">
        <f>210*150</f>
        <v>31500</v>
      </c>
      <c r="W212" s="19"/>
      <c r="X212" s="19"/>
      <c r="Y212" s="32">
        <f t="shared" si="65"/>
        <v>31500</v>
      </c>
      <c r="Z212" s="32">
        <f t="shared" si="55"/>
        <v>39650.472</v>
      </c>
      <c r="AA212" s="32"/>
      <c r="AB212" s="32">
        <f t="shared" si="51"/>
        <v>15061.032</v>
      </c>
      <c r="AC212" s="34">
        <f t="shared" si="56"/>
        <v>7174.320000000001</v>
      </c>
      <c r="AD212" s="8"/>
      <c r="AE212" s="8"/>
      <c r="AF212" s="34"/>
      <c r="AG212" s="32">
        <f t="shared" si="57"/>
        <v>36269.424</v>
      </c>
      <c r="AH212" s="32"/>
      <c r="AI212" s="32">
        <f t="shared" si="66"/>
        <v>390988.0140000001</v>
      </c>
    </row>
    <row r="213" spans="1:35" ht="15.75">
      <c r="A213" s="3" t="s">
        <v>134</v>
      </c>
      <c r="B213" s="4" t="s">
        <v>71</v>
      </c>
      <c r="C213" s="3" t="s">
        <v>2</v>
      </c>
      <c r="D213" s="26">
        <v>2543.2</v>
      </c>
      <c r="E213" s="19">
        <f t="shared" si="58"/>
        <v>10986.624</v>
      </c>
      <c r="F213" s="19">
        <f t="shared" si="59"/>
        <v>36316.89599999999</v>
      </c>
      <c r="G213" s="19">
        <f t="shared" si="60"/>
        <v>36011.712</v>
      </c>
      <c r="H213" s="19">
        <f t="shared" si="61"/>
        <v>7934.784</v>
      </c>
      <c r="I213" s="19">
        <f t="shared" si="62"/>
        <v>1831.1039999999998</v>
      </c>
      <c r="J213" s="19">
        <f t="shared" si="63"/>
        <v>5493.312</v>
      </c>
      <c r="K213" s="19">
        <f>60*8+60*6*2</f>
        <v>1200</v>
      </c>
      <c r="L213" s="8">
        <f>144.73*3</f>
        <v>434.18999999999994</v>
      </c>
      <c r="M213" s="8"/>
      <c r="N213" s="8">
        <f>894*20.77</f>
        <v>18568.38</v>
      </c>
      <c r="O213" s="24">
        <f t="shared" si="53"/>
        <v>6993.8</v>
      </c>
      <c r="P213" s="32">
        <f t="shared" si="64"/>
        <v>125770.80200000001</v>
      </c>
      <c r="Q213" s="32">
        <f>D213*1.27*5+D213*1.34*7</f>
        <v>40004.536</v>
      </c>
      <c r="R213" s="34">
        <f t="shared" si="54"/>
        <v>93844.08</v>
      </c>
      <c r="S213" s="19"/>
      <c r="T213" s="19"/>
      <c r="U213" s="19"/>
      <c r="V213" s="19"/>
      <c r="W213" s="19"/>
      <c r="X213" s="19"/>
      <c r="Y213" s="32">
        <f t="shared" si="65"/>
        <v>0</v>
      </c>
      <c r="Z213" s="32">
        <f t="shared" si="55"/>
        <v>39368.736000000004</v>
      </c>
      <c r="AA213" s="32"/>
      <c r="AB213" s="32">
        <f t="shared" si="51"/>
        <v>14954.016</v>
      </c>
      <c r="AC213" s="34">
        <f t="shared" si="56"/>
        <v>7123.36</v>
      </c>
      <c r="AD213" s="8"/>
      <c r="AE213" s="8"/>
      <c r="AF213" s="34"/>
      <c r="AG213" s="32">
        <f t="shared" si="57"/>
        <v>36011.712</v>
      </c>
      <c r="AH213" s="32"/>
      <c r="AI213" s="32">
        <f t="shared" si="66"/>
        <v>357077.24199999997</v>
      </c>
    </row>
    <row r="214" spans="1:35" ht="15.75">
      <c r="A214" s="3" t="s">
        <v>134</v>
      </c>
      <c r="B214" s="4" t="s">
        <v>72</v>
      </c>
      <c r="C214" s="3" t="s">
        <v>2</v>
      </c>
      <c r="D214" s="26">
        <v>529.2</v>
      </c>
      <c r="E214" s="19">
        <f t="shared" si="58"/>
        <v>2286.1440000000002</v>
      </c>
      <c r="F214" s="19">
        <f t="shared" si="59"/>
        <v>7556.976000000001</v>
      </c>
      <c r="G214" s="19">
        <f t="shared" si="60"/>
        <v>7493.472</v>
      </c>
      <c r="H214" s="19">
        <f t="shared" si="61"/>
        <v>1651.1040000000003</v>
      </c>
      <c r="I214" s="19">
        <f t="shared" si="62"/>
        <v>381.024</v>
      </c>
      <c r="J214" s="19">
        <f t="shared" si="63"/>
        <v>1143.0720000000001</v>
      </c>
      <c r="K214" s="19">
        <f>8*8*4+8*6*2</f>
        <v>352</v>
      </c>
      <c r="L214" s="8">
        <f>144.79*12</f>
        <v>1737.48</v>
      </c>
      <c r="M214" s="8"/>
      <c r="N214" s="8">
        <f>498*20.77</f>
        <v>10343.46</v>
      </c>
      <c r="O214" s="24">
        <f t="shared" si="53"/>
        <v>1455.3000000000002</v>
      </c>
      <c r="P214" s="32">
        <f t="shared" si="64"/>
        <v>34400.03200000001</v>
      </c>
      <c r="Q214" s="32"/>
      <c r="R214" s="34">
        <f t="shared" si="54"/>
        <v>19527.480000000003</v>
      </c>
      <c r="S214" s="19"/>
      <c r="T214" s="19"/>
      <c r="U214" s="19"/>
      <c r="V214" s="19"/>
      <c r="W214" s="19"/>
      <c r="X214" s="19"/>
      <c r="Y214" s="32">
        <f t="shared" si="65"/>
        <v>0</v>
      </c>
      <c r="Z214" s="32">
        <f t="shared" si="55"/>
        <v>8192.016000000001</v>
      </c>
      <c r="AA214" s="32"/>
      <c r="AB214" s="32">
        <f t="shared" si="51"/>
        <v>3111.696</v>
      </c>
      <c r="AC214" s="34">
        <f t="shared" si="56"/>
        <v>1484.1600000000003</v>
      </c>
      <c r="AD214" s="8"/>
      <c r="AE214" s="8"/>
      <c r="AF214" s="34"/>
      <c r="AG214" s="32">
        <f t="shared" si="57"/>
        <v>7493.472</v>
      </c>
      <c r="AH214" s="32"/>
      <c r="AI214" s="32">
        <f t="shared" si="66"/>
        <v>74208.85600000001</v>
      </c>
    </row>
    <row r="215" spans="1:35" ht="15.75">
      <c r="A215" s="3" t="s">
        <v>134</v>
      </c>
      <c r="B215" s="4" t="s">
        <v>128</v>
      </c>
      <c r="C215" s="3" t="s">
        <v>2</v>
      </c>
      <c r="D215" s="26">
        <v>2391.3</v>
      </c>
      <c r="E215" s="19">
        <f t="shared" si="58"/>
        <v>10330.416000000001</v>
      </c>
      <c r="F215" s="19">
        <f t="shared" si="59"/>
        <v>34147.763999999996</v>
      </c>
      <c r="G215" s="19">
        <f t="shared" si="60"/>
        <v>33860.808</v>
      </c>
      <c r="H215" s="19">
        <f t="shared" si="61"/>
        <v>7460.856000000001</v>
      </c>
      <c r="I215" s="19">
        <f t="shared" si="62"/>
        <v>1721.736</v>
      </c>
      <c r="J215" s="19">
        <f t="shared" si="63"/>
        <v>5165.2080000000005</v>
      </c>
      <c r="K215" s="19">
        <f>56*8+56*6*2</f>
        <v>1120</v>
      </c>
      <c r="L215" s="8">
        <f>144.73*2</f>
        <v>289.46</v>
      </c>
      <c r="M215" s="8"/>
      <c r="N215" s="8">
        <f>894*20.77</f>
        <v>18568.38</v>
      </c>
      <c r="O215" s="24">
        <f t="shared" si="53"/>
        <v>6576.075000000001</v>
      </c>
      <c r="P215" s="32">
        <f t="shared" si="64"/>
        <v>119240.703</v>
      </c>
      <c r="Q215" s="32">
        <f>D215*1.27*5+D215*1.34*7</f>
        <v>37615.149000000005</v>
      </c>
      <c r="R215" s="34">
        <f t="shared" si="54"/>
        <v>88238.97</v>
      </c>
      <c r="S215" s="19"/>
      <c r="T215" s="19"/>
      <c r="U215" s="19"/>
      <c r="V215" s="19"/>
      <c r="W215" s="19"/>
      <c r="X215" s="19"/>
      <c r="Y215" s="32">
        <f t="shared" si="65"/>
        <v>0</v>
      </c>
      <c r="Z215" s="32">
        <f t="shared" si="55"/>
        <v>37017.32400000001</v>
      </c>
      <c r="AA215" s="32"/>
      <c r="AB215" s="32">
        <f t="shared" si="51"/>
        <v>14060.844000000001</v>
      </c>
      <c r="AC215" s="34">
        <f t="shared" si="56"/>
        <v>6698.04</v>
      </c>
      <c r="AD215" s="8"/>
      <c r="AE215" s="8"/>
      <c r="AF215" s="34"/>
      <c r="AG215" s="32">
        <f t="shared" si="57"/>
        <v>33860.808</v>
      </c>
      <c r="AH215" s="32">
        <v>57500</v>
      </c>
      <c r="AI215" s="32">
        <f t="shared" si="66"/>
        <v>394231.838</v>
      </c>
    </row>
    <row r="216" spans="1:35" ht="15.75">
      <c r="A216" s="3" t="s">
        <v>134</v>
      </c>
      <c r="B216" s="4" t="s">
        <v>44</v>
      </c>
      <c r="C216" s="3" t="s">
        <v>2</v>
      </c>
      <c r="D216" s="26">
        <v>2271.4</v>
      </c>
      <c r="E216" s="19">
        <f t="shared" si="58"/>
        <v>9812.448</v>
      </c>
      <c r="F216" s="19">
        <f t="shared" si="59"/>
        <v>32435.591999999997</v>
      </c>
      <c r="G216" s="19">
        <f t="shared" si="60"/>
        <v>32163.023999999998</v>
      </c>
      <c r="H216" s="19">
        <f t="shared" si="61"/>
        <v>7086.768000000001</v>
      </c>
      <c r="I216" s="19">
        <f t="shared" si="62"/>
        <v>1635.408</v>
      </c>
      <c r="J216" s="19">
        <f t="shared" si="63"/>
        <v>4906.224</v>
      </c>
      <c r="K216" s="19">
        <f>32*8*4+32*6*2</f>
        <v>1408</v>
      </c>
      <c r="L216" s="8"/>
      <c r="M216" s="8"/>
      <c r="N216" s="8">
        <f>946*20.77</f>
        <v>19648.42</v>
      </c>
      <c r="O216" s="24">
        <f t="shared" si="53"/>
        <v>6246.350000000001</v>
      </c>
      <c r="P216" s="32">
        <f t="shared" si="64"/>
        <v>115342.23399999998</v>
      </c>
      <c r="Q216" s="32">
        <f>D216*1.27*5+D216*1.34*7</f>
        <v>35729.122</v>
      </c>
      <c r="R216" s="34">
        <f t="shared" si="54"/>
        <v>83814.66</v>
      </c>
      <c r="S216" s="19"/>
      <c r="T216" s="19"/>
      <c r="U216" s="19"/>
      <c r="V216" s="19"/>
      <c r="W216" s="19"/>
      <c r="X216" s="19"/>
      <c r="Y216" s="32">
        <f t="shared" si="65"/>
        <v>0</v>
      </c>
      <c r="Z216" s="32">
        <f t="shared" si="55"/>
        <v>35161.272000000004</v>
      </c>
      <c r="AA216" s="32"/>
      <c r="AB216" s="32">
        <f t="shared" si="51"/>
        <v>13355.832000000002</v>
      </c>
      <c r="AC216" s="34">
        <f t="shared" si="56"/>
        <v>6362.32</v>
      </c>
      <c r="AD216" s="8"/>
      <c r="AE216" s="8"/>
      <c r="AF216" s="34"/>
      <c r="AG216" s="32">
        <f t="shared" si="57"/>
        <v>32163.023999999998</v>
      </c>
      <c r="AH216" s="32"/>
      <c r="AI216" s="32">
        <f t="shared" si="66"/>
        <v>321928.464</v>
      </c>
    </row>
    <row r="217" spans="1:35" ht="15.75">
      <c r="A217" s="3" t="s">
        <v>134</v>
      </c>
      <c r="B217" s="4" t="s">
        <v>65</v>
      </c>
      <c r="C217" s="3" t="s">
        <v>2</v>
      </c>
      <c r="D217" s="26">
        <v>2891.4</v>
      </c>
      <c r="E217" s="19">
        <f t="shared" si="58"/>
        <v>12490.848</v>
      </c>
      <c r="F217" s="19">
        <f t="shared" si="59"/>
        <v>41289.192</v>
      </c>
      <c r="G217" s="19">
        <f t="shared" si="60"/>
        <v>40942.224</v>
      </c>
      <c r="H217" s="19">
        <f t="shared" si="61"/>
        <v>9021.168</v>
      </c>
      <c r="I217" s="19">
        <f t="shared" si="62"/>
        <v>2081.808</v>
      </c>
      <c r="J217" s="19">
        <f t="shared" si="63"/>
        <v>6245.424</v>
      </c>
      <c r="K217" s="19">
        <f>32*8*4+32*6*2</f>
        <v>1408</v>
      </c>
      <c r="L217" s="8">
        <f>144.73*3</f>
        <v>434.18999999999994</v>
      </c>
      <c r="M217" s="8"/>
      <c r="N217" s="8"/>
      <c r="O217" s="24">
        <f t="shared" si="53"/>
        <v>7951.350000000001</v>
      </c>
      <c r="P217" s="32">
        <f t="shared" si="64"/>
        <v>121864.20400000001</v>
      </c>
      <c r="Q217" s="32">
        <f>D217*1.27*5+D217*1.34*7</f>
        <v>45481.722</v>
      </c>
      <c r="R217" s="34">
        <f t="shared" si="54"/>
        <v>106692.66</v>
      </c>
      <c r="S217" s="19"/>
      <c r="T217" s="19"/>
      <c r="U217" s="19"/>
      <c r="V217" s="19"/>
      <c r="W217" s="19"/>
      <c r="X217" s="19"/>
      <c r="Y217" s="32">
        <f t="shared" si="65"/>
        <v>0</v>
      </c>
      <c r="Z217" s="32">
        <f t="shared" si="55"/>
        <v>44758.872</v>
      </c>
      <c r="AA217" s="32"/>
      <c r="AB217" s="32">
        <f t="shared" si="51"/>
        <v>17001.432</v>
      </c>
      <c r="AC217" s="34">
        <f t="shared" si="56"/>
        <v>8098.320000000001</v>
      </c>
      <c r="AD217" s="8"/>
      <c r="AE217" s="8"/>
      <c r="AF217" s="34"/>
      <c r="AG217" s="32">
        <f t="shared" si="57"/>
        <v>40942.224</v>
      </c>
      <c r="AH217" s="32"/>
      <c r="AI217" s="32">
        <f t="shared" si="66"/>
        <v>384839.434</v>
      </c>
    </row>
    <row r="218" spans="1:35" ht="15.75">
      <c r="A218" s="3" t="s">
        <v>134</v>
      </c>
      <c r="B218" s="4" t="s">
        <v>67</v>
      </c>
      <c r="C218" s="3" t="s">
        <v>2</v>
      </c>
      <c r="D218" s="26">
        <v>2037.3</v>
      </c>
      <c r="E218" s="19">
        <f t="shared" si="58"/>
        <v>8801.136</v>
      </c>
      <c r="F218" s="19">
        <f t="shared" si="59"/>
        <v>29092.643999999997</v>
      </c>
      <c r="G218" s="19">
        <f t="shared" si="60"/>
        <v>28848.167999999998</v>
      </c>
      <c r="H218" s="19">
        <f t="shared" si="61"/>
        <v>6356.376</v>
      </c>
      <c r="I218" s="19">
        <f t="shared" si="62"/>
        <v>1466.856</v>
      </c>
      <c r="J218" s="19">
        <f t="shared" si="63"/>
        <v>4400.568</v>
      </c>
      <c r="K218" s="19">
        <f>48*8*4+48*6*2</f>
        <v>2112</v>
      </c>
      <c r="L218" s="8">
        <f>144.73*3</f>
        <v>434.18999999999994</v>
      </c>
      <c r="M218" s="8"/>
      <c r="N218" s="8">
        <f>1001*20.77</f>
        <v>20790.77</v>
      </c>
      <c r="O218" s="24">
        <f t="shared" si="53"/>
        <v>5602.575000000001</v>
      </c>
      <c r="P218" s="32">
        <f t="shared" si="64"/>
        <v>107905.28300000001</v>
      </c>
      <c r="Q218" s="32">
        <f>D218*1.27*5+D218*1.34*7</f>
        <v>32046.729</v>
      </c>
      <c r="R218" s="34">
        <f t="shared" si="54"/>
        <v>75176.37</v>
      </c>
      <c r="S218" s="19"/>
      <c r="T218" s="19"/>
      <c r="U218" s="19"/>
      <c r="V218" s="19">
        <f>220*150</f>
        <v>33000</v>
      </c>
      <c r="W218" s="19"/>
      <c r="X218" s="19"/>
      <c r="Y218" s="32">
        <f t="shared" si="65"/>
        <v>33000</v>
      </c>
      <c r="Z218" s="32">
        <f t="shared" si="55"/>
        <v>31537.404000000002</v>
      </c>
      <c r="AA218" s="32"/>
      <c r="AB218" s="32">
        <f t="shared" si="51"/>
        <v>11979.323999999999</v>
      </c>
      <c r="AC218" s="34">
        <f t="shared" si="56"/>
        <v>5706.84</v>
      </c>
      <c r="AD218" s="8"/>
      <c r="AE218" s="8"/>
      <c r="AF218" s="34"/>
      <c r="AG218" s="32">
        <f t="shared" si="57"/>
        <v>28848.167999999998</v>
      </c>
      <c r="AH218" s="32"/>
      <c r="AI218" s="32">
        <f t="shared" si="66"/>
        <v>326200.1180000001</v>
      </c>
    </row>
    <row r="219" spans="1:35" ht="15.75">
      <c r="A219" s="5" t="s">
        <v>135</v>
      </c>
      <c r="B219" s="5" t="s">
        <v>16</v>
      </c>
      <c r="C219" s="3" t="s">
        <v>2</v>
      </c>
      <c r="D219" s="29">
        <v>47.3</v>
      </c>
      <c r="E219" s="19">
        <f t="shared" si="58"/>
        <v>204.33599999999998</v>
      </c>
      <c r="F219" s="19">
        <f t="shared" si="59"/>
        <v>675.444</v>
      </c>
      <c r="G219" s="19">
        <f t="shared" si="60"/>
        <v>669.7679999999999</v>
      </c>
      <c r="H219" s="19">
        <f t="shared" si="61"/>
        <v>147.576</v>
      </c>
      <c r="I219" s="19">
        <f t="shared" si="62"/>
        <v>34.056</v>
      </c>
      <c r="J219" s="19">
        <f t="shared" si="63"/>
        <v>102.16799999999999</v>
      </c>
      <c r="K219" s="19">
        <f>2*6*2</f>
        <v>24</v>
      </c>
      <c r="L219" s="8" t="s">
        <v>187</v>
      </c>
      <c r="M219" s="8"/>
      <c r="N219" s="8"/>
      <c r="O219" s="24">
        <f t="shared" si="53"/>
        <v>130.075</v>
      </c>
      <c r="P219" s="32">
        <f t="shared" si="64"/>
        <v>1987.4229999999998</v>
      </c>
      <c r="Q219" s="32"/>
      <c r="R219" s="34">
        <f t="shared" si="54"/>
        <v>1745.37</v>
      </c>
      <c r="S219" s="19"/>
      <c r="T219" s="19"/>
      <c r="U219" s="19"/>
      <c r="V219" s="19"/>
      <c r="W219" s="19"/>
      <c r="X219" s="19"/>
      <c r="Y219" s="32">
        <f t="shared" si="65"/>
        <v>0</v>
      </c>
      <c r="Z219" s="32">
        <f t="shared" si="55"/>
        <v>732.204</v>
      </c>
      <c r="AA219" s="32"/>
      <c r="AB219" s="32">
        <f t="shared" si="51"/>
        <v>278.124</v>
      </c>
      <c r="AC219" s="34">
        <f t="shared" si="56"/>
        <v>134.84</v>
      </c>
      <c r="AD219" s="8"/>
      <c r="AE219" s="8"/>
      <c r="AF219" s="34"/>
      <c r="AG219" s="32">
        <f t="shared" si="57"/>
        <v>669.7679999999999</v>
      </c>
      <c r="AH219" s="32"/>
      <c r="AI219" s="32">
        <f t="shared" si="66"/>
        <v>5547.728999999999</v>
      </c>
    </row>
    <row r="220" spans="1:35" ht="15.75">
      <c r="A220" s="3" t="s">
        <v>136</v>
      </c>
      <c r="B220" s="4" t="s">
        <v>1</v>
      </c>
      <c r="C220" s="3" t="s">
        <v>2</v>
      </c>
      <c r="D220" s="26">
        <v>2766.2</v>
      </c>
      <c r="E220" s="19">
        <f t="shared" si="58"/>
        <v>11949.983999999999</v>
      </c>
      <c r="F220" s="19">
        <f t="shared" si="59"/>
        <v>39501.335999999996</v>
      </c>
      <c r="G220" s="19">
        <f t="shared" si="60"/>
        <v>39169.39199999999</v>
      </c>
      <c r="H220" s="19">
        <f t="shared" si="61"/>
        <v>8630.544</v>
      </c>
      <c r="I220" s="19">
        <f t="shared" si="62"/>
        <v>1991.6639999999998</v>
      </c>
      <c r="J220" s="19">
        <f t="shared" si="63"/>
        <v>5974.991999999999</v>
      </c>
      <c r="K220" s="19">
        <f>60*8+60*6*2</f>
        <v>1200</v>
      </c>
      <c r="L220" s="8">
        <f>144.73*3</f>
        <v>434.18999999999994</v>
      </c>
      <c r="M220" s="8"/>
      <c r="N220" s="8"/>
      <c r="O220" s="24">
        <f t="shared" si="53"/>
        <v>7607.05</v>
      </c>
      <c r="P220" s="32">
        <f t="shared" si="64"/>
        <v>116459.15199999999</v>
      </c>
      <c r="Q220" s="32">
        <f>D220*1.27*5+D220*1.34*7</f>
        <v>43512.326</v>
      </c>
      <c r="R220" s="34">
        <f t="shared" si="54"/>
        <v>102072.78</v>
      </c>
      <c r="S220" s="19"/>
      <c r="T220" s="19">
        <f>50*135</f>
        <v>6750</v>
      </c>
      <c r="U220" s="19"/>
      <c r="V220" s="19"/>
      <c r="W220" s="19"/>
      <c r="X220" s="19"/>
      <c r="Y220" s="32">
        <f t="shared" si="65"/>
        <v>6750</v>
      </c>
      <c r="Z220" s="32">
        <f t="shared" si="55"/>
        <v>42820.776</v>
      </c>
      <c r="AA220" s="32"/>
      <c r="AB220" s="32">
        <f t="shared" si="51"/>
        <v>16265.255999999998</v>
      </c>
      <c r="AC220" s="34">
        <f t="shared" si="56"/>
        <v>7747.76</v>
      </c>
      <c r="AD220" s="8"/>
      <c r="AE220" s="8"/>
      <c r="AF220" s="34"/>
      <c r="AG220" s="32">
        <f t="shared" si="57"/>
        <v>39169.39199999999</v>
      </c>
      <c r="AH220" s="32"/>
      <c r="AI220" s="32">
        <f t="shared" si="66"/>
        <v>374797.44200000004</v>
      </c>
    </row>
    <row r="221" spans="1:35" ht="15.75">
      <c r="A221" s="3" t="s">
        <v>136</v>
      </c>
      <c r="B221" s="4" t="s">
        <v>71</v>
      </c>
      <c r="C221" s="3" t="s">
        <v>2</v>
      </c>
      <c r="D221" s="26">
        <v>5812.5</v>
      </c>
      <c r="E221" s="19">
        <f t="shared" si="58"/>
        <v>25110</v>
      </c>
      <c r="F221" s="19">
        <f t="shared" si="59"/>
        <v>83002.5</v>
      </c>
      <c r="G221" s="19">
        <f t="shared" si="60"/>
        <v>82305</v>
      </c>
      <c r="H221" s="19">
        <f t="shared" si="61"/>
        <v>18135</v>
      </c>
      <c r="I221" s="19">
        <f t="shared" si="62"/>
        <v>4185</v>
      </c>
      <c r="J221" s="19">
        <f t="shared" si="63"/>
        <v>12555</v>
      </c>
      <c r="K221" s="19">
        <f>119*8+119*6*2</f>
        <v>2380</v>
      </c>
      <c r="L221" s="8">
        <f>144.73*137</f>
        <v>19828.01</v>
      </c>
      <c r="M221" s="8"/>
      <c r="N221" s="8"/>
      <c r="O221" s="24">
        <f t="shared" si="53"/>
        <v>15984.375000000002</v>
      </c>
      <c r="P221" s="32">
        <f t="shared" si="64"/>
        <v>263484.885</v>
      </c>
      <c r="Q221" s="32">
        <f>D221*1.27*5+D221*1.34*7</f>
        <v>91430.625</v>
      </c>
      <c r="R221" s="34">
        <f t="shared" si="54"/>
        <v>214481.25</v>
      </c>
      <c r="S221" s="19"/>
      <c r="T221" s="19"/>
      <c r="U221" s="19"/>
      <c r="V221" s="19"/>
      <c r="W221" s="19"/>
      <c r="X221" s="19"/>
      <c r="Y221" s="32">
        <f t="shared" si="65"/>
        <v>0</v>
      </c>
      <c r="Z221" s="32">
        <f t="shared" si="55"/>
        <v>89977.5</v>
      </c>
      <c r="AA221" s="32"/>
      <c r="AB221" s="32">
        <f t="shared" si="51"/>
        <v>34177.5</v>
      </c>
      <c r="AC221" s="34">
        <f t="shared" si="56"/>
        <v>16277.4</v>
      </c>
      <c r="AD221" s="8"/>
      <c r="AE221" s="8"/>
      <c r="AF221" s="34"/>
      <c r="AG221" s="32">
        <f t="shared" si="57"/>
        <v>82305</v>
      </c>
      <c r="AH221" s="32"/>
      <c r="AI221" s="32">
        <f t="shared" si="66"/>
        <v>792134.16</v>
      </c>
    </row>
    <row r="222" spans="1:35" ht="15.75">
      <c r="A222" s="3" t="s">
        <v>136</v>
      </c>
      <c r="B222" s="4" t="s">
        <v>72</v>
      </c>
      <c r="C222" s="3" t="s">
        <v>2</v>
      </c>
      <c r="D222" s="26">
        <v>2717.5</v>
      </c>
      <c r="E222" s="19">
        <f t="shared" si="58"/>
        <v>11739.599999999999</v>
      </c>
      <c r="F222" s="19">
        <f t="shared" si="59"/>
        <v>38805.899999999994</v>
      </c>
      <c r="G222" s="19">
        <f t="shared" si="60"/>
        <v>38479.799999999996</v>
      </c>
      <c r="H222" s="19">
        <f t="shared" si="61"/>
        <v>8478.6</v>
      </c>
      <c r="I222" s="19">
        <f t="shared" si="62"/>
        <v>1956.6</v>
      </c>
      <c r="J222" s="19">
        <f t="shared" si="63"/>
        <v>5869.799999999999</v>
      </c>
      <c r="K222" s="19">
        <f>60*8+60*6*2</f>
        <v>1200</v>
      </c>
      <c r="L222" s="8">
        <f>144.73*3</f>
        <v>434.18999999999994</v>
      </c>
      <c r="M222" s="8"/>
      <c r="N222" s="8"/>
      <c r="O222" s="24">
        <f t="shared" si="53"/>
        <v>7473.125000000001</v>
      </c>
      <c r="P222" s="32">
        <f t="shared" si="64"/>
        <v>114437.615</v>
      </c>
      <c r="Q222" s="32">
        <f>D222*1.27*5+D222*1.34*7</f>
        <v>42746.275</v>
      </c>
      <c r="R222" s="34">
        <f t="shared" si="54"/>
        <v>100275.75</v>
      </c>
      <c r="S222" s="19"/>
      <c r="T222" s="19"/>
      <c r="U222" s="19"/>
      <c r="V222" s="19"/>
      <c r="W222" s="19"/>
      <c r="X222" s="19"/>
      <c r="Y222" s="32">
        <f t="shared" si="65"/>
        <v>0</v>
      </c>
      <c r="Z222" s="32">
        <f t="shared" si="55"/>
        <v>42066.9</v>
      </c>
      <c r="AA222" s="32"/>
      <c r="AB222" s="32">
        <f t="shared" si="51"/>
        <v>15978.900000000001</v>
      </c>
      <c r="AC222" s="34">
        <f t="shared" si="56"/>
        <v>7611.4</v>
      </c>
      <c r="AD222" s="8"/>
      <c r="AE222" s="8"/>
      <c r="AF222" s="34"/>
      <c r="AG222" s="32">
        <f t="shared" si="57"/>
        <v>38479.799999999996</v>
      </c>
      <c r="AH222" s="32"/>
      <c r="AI222" s="32">
        <f t="shared" si="66"/>
        <v>361596.6400000001</v>
      </c>
    </row>
    <row r="223" spans="1:35" ht="15.75">
      <c r="A223" s="3" t="s">
        <v>136</v>
      </c>
      <c r="B223" s="4" t="s">
        <v>65</v>
      </c>
      <c r="C223" s="3" t="s">
        <v>2</v>
      </c>
      <c r="D223" s="26">
        <v>5704</v>
      </c>
      <c r="E223" s="19">
        <f t="shared" si="58"/>
        <v>24641.28</v>
      </c>
      <c r="F223" s="19">
        <f t="shared" si="59"/>
        <v>81453.12</v>
      </c>
      <c r="G223" s="19">
        <f t="shared" si="60"/>
        <v>80768.63999999998</v>
      </c>
      <c r="H223" s="19">
        <f t="shared" si="61"/>
        <v>17796.48</v>
      </c>
      <c r="I223" s="19">
        <f t="shared" si="62"/>
        <v>4106.88</v>
      </c>
      <c r="J223" s="19">
        <f t="shared" si="63"/>
        <v>12320.64</v>
      </c>
      <c r="K223" s="19">
        <f>118*8+118*6*2</f>
        <v>2360</v>
      </c>
      <c r="L223" s="8">
        <f>144.73*3</f>
        <v>434.18999999999994</v>
      </c>
      <c r="M223" s="8"/>
      <c r="N223" s="8"/>
      <c r="O223" s="24">
        <f t="shared" si="53"/>
        <v>15686.000000000002</v>
      </c>
      <c r="P223" s="32">
        <f t="shared" si="64"/>
        <v>239567.22999999998</v>
      </c>
      <c r="Q223" s="32">
        <f>D223*1.27*5+D223*1.34*7</f>
        <v>89723.92000000001</v>
      </c>
      <c r="R223" s="34">
        <f t="shared" si="54"/>
        <v>210477.6</v>
      </c>
      <c r="S223" s="19"/>
      <c r="T223" s="19"/>
      <c r="U223" s="19"/>
      <c r="V223" s="19"/>
      <c r="W223" s="19">
        <f>4.4*220</f>
        <v>968.0000000000001</v>
      </c>
      <c r="X223" s="19"/>
      <c r="Y223" s="32">
        <f t="shared" si="65"/>
        <v>968.0000000000001</v>
      </c>
      <c r="Z223" s="32">
        <f t="shared" si="55"/>
        <v>88297.92</v>
      </c>
      <c r="AA223" s="32"/>
      <c r="AB223" s="32">
        <f aca="true" t="shared" si="67" ref="AB223:AB255">D223*0.49*12</f>
        <v>33539.520000000004</v>
      </c>
      <c r="AC223" s="34">
        <f t="shared" si="56"/>
        <v>15973.599999999999</v>
      </c>
      <c r="AD223" s="8"/>
      <c r="AE223" s="8"/>
      <c r="AF223" s="34"/>
      <c r="AG223" s="32">
        <f t="shared" si="57"/>
        <v>80768.63999999998</v>
      </c>
      <c r="AH223" s="32">
        <v>57500</v>
      </c>
      <c r="AI223" s="32">
        <f t="shared" si="66"/>
        <v>816816.43</v>
      </c>
    </row>
    <row r="224" spans="1:35" ht="15.75">
      <c r="A224" s="3" t="s">
        <v>136</v>
      </c>
      <c r="B224" s="4" t="s">
        <v>129</v>
      </c>
      <c r="C224" s="3" t="s">
        <v>2</v>
      </c>
      <c r="D224" s="26">
        <v>3447.4</v>
      </c>
      <c r="E224" s="19">
        <f t="shared" si="58"/>
        <v>14892.768</v>
      </c>
      <c r="F224" s="19">
        <f t="shared" si="59"/>
        <v>49228.872</v>
      </c>
      <c r="G224" s="19">
        <f t="shared" si="60"/>
        <v>48815.183999999994</v>
      </c>
      <c r="H224" s="19">
        <f t="shared" si="61"/>
        <v>10755.888</v>
      </c>
      <c r="I224" s="19">
        <f t="shared" si="62"/>
        <v>2482.1279999999997</v>
      </c>
      <c r="J224" s="19">
        <f t="shared" si="63"/>
        <v>7446.384</v>
      </c>
      <c r="K224" s="19">
        <f>75*6*2</f>
        <v>900</v>
      </c>
      <c r="L224" s="8">
        <f>144.73*3</f>
        <v>434.18999999999994</v>
      </c>
      <c r="M224" s="8"/>
      <c r="N224" s="8"/>
      <c r="O224" s="24">
        <f t="shared" si="53"/>
        <v>9480.35</v>
      </c>
      <c r="P224" s="32">
        <f t="shared" si="64"/>
        <v>144435.764</v>
      </c>
      <c r="Q224" s="32">
        <f>D224*1.27*5+D224*1.34*7</f>
        <v>54227.602000000006</v>
      </c>
      <c r="R224" s="34">
        <f t="shared" si="54"/>
        <v>127209.06000000001</v>
      </c>
      <c r="S224" s="19"/>
      <c r="T224" s="19">
        <f>120*135</f>
        <v>16200</v>
      </c>
      <c r="U224" s="19"/>
      <c r="V224" s="19"/>
      <c r="W224" s="19"/>
      <c r="X224" s="19"/>
      <c r="Y224" s="32">
        <f t="shared" si="65"/>
        <v>16200</v>
      </c>
      <c r="Z224" s="32">
        <f t="shared" si="55"/>
        <v>53365.75200000001</v>
      </c>
      <c r="AA224" s="32"/>
      <c r="AB224" s="32">
        <f t="shared" si="67"/>
        <v>20270.712</v>
      </c>
      <c r="AC224" s="34">
        <f t="shared" si="56"/>
        <v>9655.12</v>
      </c>
      <c r="AD224" s="8"/>
      <c r="AE224" s="8"/>
      <c r="AF224" s="34"/>
      <c r="AG224" s="32">
        <f t="shared" si="57"/>
        <v>48815.183999999994</v>
      </c>
      <c r="AH224" s="32"/>
      <c r="AI224" s="32">
        <f t="shared" si="66"/>
        <v>474179.1940000001</v>
      </c>
    </row>
    <row r="225" spans="1:35" ht="15.75">
      <c r="A225" s="5" t="s">
        <v>137</v>
      </c>
      <c r="B225" s="5" t="s">
        <v>69</v>
      </c>
      <c r="C225" s="6" t="s">
        <v>2</v>
      </c>
      <c r="D225" s="29">
        <v>770.4</v>
      </c>
      <c r="E225" s="19">
        <f t="shared" si="58"/>
        <v>3328.1279999999997</v>
      </c>
      <c r="F225" s="19">
        <f t="shared" si="59"/>
        <v>11001.312</v>
      </c>
      <c r="G225" s="19">
        <f t="shared" si="60"/>
        <v>10908.863999999998</v>
      </c>
      <c r="H225" s="19">
        <f t="shared" si="61"/>
        <v>2403.648</v>
      </c>
      <c r="I225" s="19">
        <f t="shared" si="62"/>
        <v>554.688</v>
      </c>
      <c r="J225" s="19">
        <f t="shared" si="63"/>
        <v>1664.0639999999999</v>
      </c>
      <c r="K225" s="19">
        <f>4*6*2</f>
        <v>48</v>
      </c>
      <c r="L225" s="8"/>
      <c r="M225" s="8"/>
      <c r="N225" s="8"/>
      <c r="O225" s="24">
        <f t="shared" si="53"/>
        <v>2118.6000000000004</v>
      </c>
      <c r="P225" s="32">
        <f t="shared" si="64"/>
        <v>32027.303999999996</v>
      </c>
      <c r="Q225" s="32"/>
      <c r="R225" s="34">
        <f t="shared" si="54"/>
        <v>28427.759999999995</v>
      </c>
      <c r="S225" s="19"/>
      <c r="T225" s="19"/>
      <c r="U225" s="19"/>
      <c r="V225" s="19"/>
      <c r="W225" s="19"/>
      <c r="X225" s="19"/>
      <c r="Y225" s="32">
        <f t="shared" si="65"/>
        <v>0</v>
      </c>
      <c r="Z225" s="32">
        <f t="shared" si="55"/>
        <v>11925.792000000001</v>
      </c>
      <c r="AA225" s="32"/>
      <c r="AB225" s="32">
        <f t="shared" si="67"/>
        <v>4529.951999999999</v>
      </c>
      <c r="AC225" s="34">
        <f t="shared" si="56"/>
        <v>2159.5200000000004</v>
      </c>
      <c r="AD225" s="8"/>
      <c r="AE225" s="8"/>
      <c r="AF225" s="34"/>
      <c r="AG225" s="32">
        <f t="shared" si="57"/>
        <v>10908.863999999998</v>
      </c>
      <c r="AH225" s="32">
        <v>57500</v>
      </c>
      <c r="AI225" s="32">
        <f t="shared" si="66"/>
        <v>147479.192</v>
      </c>
    </row>
    <row r="226" spans="1:35" ht="15.75">
      <c r="A226" s="3" t="s">
        <v>137</v>
      </c>
      <c r="B226" s="4" t="s">
        <v>37</v>
      </c>
      <c r="C226" s="3" t="s">
        <v>2</v>
      </c>
      <c r="D226" s="26">
        <v>3239.9</v>
      </c>
      <c r="E226" s="19">
        <f t="shared" si="58"/>
        <v>13996.368</v>
      </c>
      <c r="F226" s="19">
        <f t="shared" si="59"/>
        <v>46265.772</v>
      </c>
      <c r="G226" s="19">
        <f t="shared" si="60"/>
        <v>45876.984</v>
      </c>
      <c r="H226" s="19">
        <f t="shared" si="61"/>
        <v>10108.488000000001</v>
      </c>
      <c r="I226" s="19">
        <f t="shared" si="62"/>
        <v>2332.728</v>
      </c>
      <c r="J226" s="19">
        <f t="shared" si="63"/>
        <v>6998.184</v>
      </c>
      <c r="K226" s="19">
        <f>60*6*2</f>
        <v>720</v>
      </c>
      <c r="L226" s="8">
        <f>144.73*3</f>
        <v>434.18999999999994</v>
      </c>
      <c r="M226" s="8"/>
      <c r="N226" s="8"/>
      <c r="O226" s="24">
        <f t="shared" si="53"/>
        <v>8909.725</v>
      </c>
      <c r="P226" s="32">
        <f t="shared" si="64"/>
        <v>135642.43899999998</v>
      </c>
      <c r="Q226" s="32">
        <f>D226*1.27*5+D226*1.34*7</f>
        <v>50963.627</v>
      </c>
      <c r="R226" s="34">
        <f t="shared" si="54"/>
        <v>119552.31000000001</v>
      </c>
      <c r="S226" s="19"/>
      <c r="T226" s="19"/>
      <c r="U226" s="19"/>
      <c r="V226" s="19"/>
      <c r="W226" s="19"/>
      <c r="X226" s="19"/>
      <c r="Y226" s="32">
        <f t="shared" si="65"/>
        <v>0</v>
      </c>
      <c r="Z226" s="32">
        <f t="shared" si="55"/>
        <v>50153.652</v>
      </c>
      <c r="AA226" s="32"/>
      <c r="AB226" s="32">
        <f t="shared" si="67"/>
        <v>19050.612</v>
      </c>
      <c r="AC226" s="34">
        <f t="shared" si="56"/>
        <v>9074.12</v>
      </c>
      <c r="AD226" s="8"/>
      <c r="AE226" s="8"/>
      <c r="AF226" s="34"/>
      <c r="AG226" s="32">
        <f t="shared" si="57"/>
        <v>45876.984</v>
      </c>
      <c r="AH226" s="32">
        <v>57500</v>
      </c>
      <c r="AI226" s="32">
        <f t="shared" si="66"/>
        <v>487813.744</v>
      </c>
    </row>
    <row r="227" spans="1:35" ht="15.75">
      <c r="A227" s="5" t="s">
        <v>137</v>
      </c>
      <c r="B227" s="5" t="s">
        <v>81</v>
      </c>
      <c r="C227" s="6" t="s">
        <v>2</v>
      </c>
      <c r="D227" s="27">
        <v>117.5</v>
      </c>
      <c r="E227" s="19">
        <f t="shared" si="58"/>
        <v>507.59999999999997</v>
      </c>
      <c r="F227" s="19">
        <f t="shared" si="59"/>
        <v>1677.8999999999999</v>
      </c>
      <c r="G227" s="19">
        <f t="shared" si="60"/>
        <v>1663.8000000000002</v>
      </c>
      <c r="H227" s="19">
        <f t="shared" si="61"/>
        <v>366.6</v>
      </c>
      <c r="I227" s="19">
        <f t="shared" si="62"/>
        <v>84.6</v>
      </c>
      <c r="J227" s="19">
        <f t="shared" si="63"/>
        <v>253.79999999999998</v>
      </c>
      <c r="K227" s="19">
        <f>2*230</f>
        <v>460</v>
      </c>
      <c r="L227" s="8"/>
      <c r="M227" s="8"/>
      <c r="N227" s="8"/>
      <c r="O227" s="24">
        <f t="shared" si="53"/>
        <v>323.125</v>
      </c>
      <c r="P227" s="32">
        <f t="shared" si="64"/>
        <v>5337.425000000001</v>
      </c>
      <c r="Q227" s="32"/>
      <c r="R227" s="34">
        <f t="shared" si="54"/>
        <v>4335.75</v>
      </c>
      <c r="S227" s="19"/>
      <c r="T227" s="19"/>
      <c r="U227" s="19"/>
      <c r="V227" s="19"/>
      <c r="W227" s="19"/>
      <c r="X227" s="19"/>
      <c r="Y227" s="32">
        <f t="shared" si="65"/>
        <v>0</v>
      </c>
      <c r="Z227" s="32">
        <f t="shared" si="55"/>
        <v>1818.9</v>
      </c>
      <c r="AA227" s="32"/>
      <c r="AB227" s="32">
        <f t="shared" si="67"/>
        <v>690.9</v>
      </c>
      <c r="AC227" s="34">
        <f t="shared" si="56"/>
        <v>331.4</v>
      </c>
      <c r="AD227" s="8"/>
      <c r="AE227" s="8"/>
      <c r="AF227" s="34"/>
      <c r="AG227" s="32">
        <f t="shared" si="57"/>
        <v>1663.8000000000002</v>
      </c>
      <c r="AH227" s="32"/>
      <c r="AI227" s="32">
        <f t="shared" si="66"/>
        <v>14178.175</v>
      </c>
    </row>
    <row r="228" spans="1:35" ht="15.75">
      <c r="A228" s="3" t="s">
        <v>137</v>
      </c>
      <c r="B228" s="4" t="s">
        <v>67</v>
      </c>
      <c r="C228" s="3" t="s">
        <v>2</v>
      </c>
      <c r="D228" s="26">
        <v>646.6</v>
      </c>
      <c r="E228" s="19">
        <f t="shared" si="58"/>
        <v>2793.312</v>
      </c>
      <c r="F228" s="19">
        <f t="shared" si="59"/>
        <v>9233.448</v>
      </c>
      <c r="G228" s="19">
        <f t="shared" si="60"/>
        <v>9155.856</v>
      </c>
      <c r="H228" s="19">
        <f t="shared" si="61"/>
        <v>2017.3920000000003</v>
      </c>
      <c r="I228" s="19">
        <f t="shared" si="62"/>
        <v>465.552</v>
      </c>
      <c r="J228" s="19">
        <f t="shared" si="63"/>
        <v>1396.656</v>
      </c>
      <c r="K228" s="19">
        <f>16*6*2</f>
        <v>192</v>
      </c>
      <c r="L228" s="8"/>
      <c r="M228" s="8"/>
      <c r="N228" s="8"/>
      <c r="O228" s="24">
        <f t="shared" si="53"/>
        <v>1778.1500000000003</v>
      </c>
      <c r="P228" s="32">
        <f t="shared" si="64"/>
        <v>27032.366</v>
      </c>
      <c r="Q228" s="32"/>
      <c r="R228" s="34">
        <f t="shared" si="54"/>
        <v>23859.54</v>
      </c>
      <c r="S228" s="19"/>
      <c r="T228" s="19"/>
      <c r="U228" s="19"/>
      <c r="V228" s="19"/>
      <c r="W228" s="19"/>
      <c r="X228" s="19"/>
      <c r="Y228" s="32">
        <f t="shared" si="65"/>
        <v>0</v>
      </c>
      <c r="Z228" s="32">
        <f t="shared" si="55"/>
        <v>10009.368</v>
      </c>
      <c r="AA228" s="32"/>
      <c r="AB228" s="32">
        <f t="shared" si="67"/>
        <v>3802.008</v>
      </c>
      <c r="AC228" s="34">
        <f t="shared" si="56"/>
        <v>1812.8800000000003</v>
      </c>
      <c r="AD228" s="8"/>
      <c r="AE228" s="8"/>
      <c r="AF228" s="34"/>
      <c r="AG228" s="32">
        <f t="shared" si="57"/>
        <v>9155.856</v>
      </c>
      <c r="AH228" s="32">
        <v>57500</v>
      </c>
      <c r="AI228" s="32">
        <f t="shared" si="66"/>
        <v>133172.018</v>
      </c>
    </row>
    <row r="229" spans="1:35" ht="15.75">
      <c r="A229" s="3" t="s">
        <v>138</v>
      </c>
      <c r="B229" s="4" t="s">
        <v>70</v>
      </c>
      <c r="C229" s="3" t="s">
        <v>66</v>
      </c>
      <c r="D229" s="26">
        <v>17755</v>
      </c>
      <c r="E229" s="19">
        <f t="shared" si="58"/>
        <v>76701.6</v>
      </c>
      <c r="F229" s="19">
        <f t="shared" si="59"/>
        <v>253541.40000000002</v>
      </c>
      <c r="G229" s="19">
        <f t="shared" si="60"/>
        <v>251410.8</v>
      </c>
      <c r="H229" s="19">
        <f t="shared" si="61"/>
        <v>55395.600000000006</v>
      </c>
      <c r="I229" s="19">
        <f t="shared" si="62"/>
        <v>12783.599999999999</v>
      </c>
      <c r="J229" s="19">
        <f t="shared" si="63"/>
        <v>38350.8</v>
      </c>
      <c r="K229" s="19">
        <f>358*6*2</f>
        <v>4296</v>
      </c>
      <c r="L229" s="8">
        <f>144.73*2</f>
        <v>289.46</v>
      </c>
      <c r="M229" s="8">
        <f>10*142.42*1.5</f>
        <v>2136.2999999999997</v>
      </c>
      <c r="N229" s="8"/>
      <c r="O229" s="24">
        <f t="shared" si="53"/>
        <v>48826.25</v>
      </c>
      <c r="P229" s="32">
        <f t="shared" si="64"/>
        <v>743731.81</v>
      </c>
      <c r="Q229" s="32">
        <f aca="true" t="shared" si="68" ref="Q229:Q241">D229*1.27*5+D229*1.34*7</f>
        <v>279286.15</v>
      </c>
      <c r="R229" s="34">
        <f t="shared" si="54"/>
        <v>655159.5</v>
      </c>
      <c r="S229" s="19"/>
      <c r="T229" s="19"/>
      <c r="U229" s="19"/>
      <c r="V229" s="19"/>
      <c r="W229" s="19"/>
      <c r="X229" s="19"/>
      <c r="Y229" s="32">
        <f t="shared" si="65"/>
        <v>0</v>
      </c>
      <c r="Z229" s="32">
        <f t="shared" si="55"/>
        <v>274847.4</v>
      </c>
      <c r="AA229" s="32">
        <f>D229*1.01*5+0.96*D229*7</f>
        <v>208976.34999999998</v>
      </c>
      <c r="AB229" s="32">
        <f t="shared" si="67"/>
        <v>104399.40000000001</v>
      </c>
      <c r="AC229" s="34">
        <f t="shared" si="56"/>
        <v>49716.4</v>
      </c>
      <c r="AD229" s="8">
        <v>301040.89</v>
      </c>
      <c r="AE229" s="19">
        <v>17379.4</v>
      </c>
      <c r="AF229" s="34">
        <f>SUM(AD229:AE229)</f>
        <v>318420.29000000004</v>
      </c>
      <c r="AG229" s="32">
        <f t="shared" si="57"/>
        <v>251410.8</v>
      </c>
      <c r="AH229" s="32"/>
      <c r="AI229" s="32">
        <f t="shared" si="66"/>
        <v>2885948.0999999996</v>
      </c>
    </row>
    <row r="230" spans="1:35" ht="15.75">
      <c r="A230" s="3" t="s">
        <v>138</v>
      </c>
      <c r="B230" s="4" t="s">
        <v>70</v>
      </c>
      <c r="C230" s="3" t="s">
        <v>111</v>
      </c>
      <c r="D230" s="26">
        <v>2140.7</v>
      </c>
      <c r="E230" s="19">
        <f t="shared" si="58"/>
        <v>9247.823999999999</v>
      </c>
      <c r="F230" s="19">
        <f t="shared" si="59"/>
        <v>30569.195999999996</v>
      </c>
      <c r="G230" s="19">
        <f t="shared" si="60"/>
        <v>30312.311999999998</v>
      </c>
      <c r="H230" s="19">
        <f t="shared" si="61"/>
        <v>6678.984</v>
      </c>
      <c r="I230" s="19">
        <f t="shared" si="62"/>
        <v>1541.3039999999996</v>
      </c>
      <c r="J230" s="19">
        <f t="shared" si="63"/>
        <v>4623.911999999999</v>
      </c>
      <c r="K230" s="19">
        <f>72*6</f>
        <v>432</v>
      </c>
      <c r="L230" s="8">
        <f>144.73*42</f>
        <v>6078.66</v>
      </c>
      <c r="M230" s="8">
        <f>1*142.42*1.5</f>
        <v>213.63</v>
      </c>
      <c r="N230" s="8"/>
      <c r="O230" s="24">
        <f t="shared" si="53"/>
        <v>5886.925</v>
      </c>
      <c r="P230" s="32">
        <f t="shared" si="64"/>
        <v>95584.747</v>
      </c>
      <c r="Q230" s="32">
        <f t="shared" si="68"/>
        <v>33673.210999999996</v>
      </c>
      <c r="R230" s="34">
        <f t="shared" si="54"/>
        <v>78991.82999999999</v>
      </c>
      <c r="S230" s="19"/>
      <c r="T230" s="19">
        <f>90*135</f>
        <v>12150</v>
      </c>
      <c r="U230" s="19"/>
      <c r="V230" s="19"/>
      <c r="W230" s="19"/>
      <c r="X230" s="19"/>
      <c r="Y230" s="32">
        <f t="shared" si="65"/>
        <v>12150</v>
      </c>
      <c r="Z230" s="32">
        <f t="shared" si="55"/>
        <v>33138.03599999999</v>
      </c>
      <c r="AA230" s="32"/>
      <c r="AB230" s="32">
        <f t="shared" si="67"/>
        <v>12587.315999999999</v>
      </c>
      <c r="AC230" s="34">
        <f t="shared" si="56"/>
        <v>5996.36</v>
      </c>
      <c r="AD230" s="8">
        <v>30104.09</v>
      </c>
      <c r="AE230" s="8">
        <v>1737.94</v>
      </c>
      <c r="AF230" s="34">
        <f>SUM(AD230:AE230)</f>
        <v>31842.03</v>
      </c>
      <c r="AG230" s="32">
        <f t="shared" si="57"/>
        <v>30312.311999999998</v>
      </c>
      <c r="AH230" s="32"/>
      <c r="AI230" s="32">
        <f t="shared" si="66"/>
        <v>334275.842</v>
      </c>
    </row>
    <row r="231" spans="1:35" ht="15.75">
      <c r="A231" s="3" t="s">
        <v>138</v>
      </c>
      <c r="B231" s="4" t="s">
        <v>35</v>
      </c>
      <c r="C231" s="3" t="s">
        <v>2</v>
      </c>
      <c r="D231" s="26">
        <v>9761.7</v>
      </c>
      <c r="E231" s="19">
        <f t="shared" si="58"/>
        <v>42170.544</v>
      </c>
      <c r="F231" s="19">
        <f t="shared" si="59"/>
        <v>139397.076</v>
      </c>
      <c r="G231" s="19">
        <f t="shared" si="60"/>
        <v>138225.67200000002</v>
      </c>
      <c r="H231" s="19">
        <f t="shared" si="61"/>
        <v>30456.504000000004</v>
      </c>
      <c r="I231" s="19">
        <f t="shared" si="62"/>
        <v>7028.424</v>
      </c>
      <c r="J231" s="19">
        <f t="shared" si="63"/>
        <v>21085.272</v>
      </c>
      <c r="K231" s="19">
        <f>152*6*2</f>
        <v>1824</v>
      </c>
      <c r="L231" s="8">
        <f>144.73*2</f>
        <v>289.46</v>
      </c>
      <c r="M231" s="8">
        <f>5*142.42*1.5</f>
        <v>1068.1499999999999</v>
      </c>
      <c r="N231" s="8"/>
      <c r="O231" s="24">
        <f t="shared" si="53"/>
        <v>26844.675000000003</v>
      </c>
      <c r="P231" s="32">
        <f t="shared" si="64"/>
        <v>408389.77700000006</v>
      </c>
      <c r="Q231" s="32">
        <f t="shared" si="68"/>
        <v>153551.54100000003</v>
      </c>
      <c r="R231" s="34">
        <f t="shared" si="54"/>
        <v>360206.73000000004</v>
      </c>
      <c r="S231" s="19">
        <f>180*120</f>
        <v>21600</v>
      </c>
      <c r="T231" s="19"/>
      <c r="U231" s="19"/>
      <c r="V231" s="19"/>
      <c r="W231" s="19"/>
      <c r="X231" s="19">
        <v>65000</v>
      </c>
      <c r="Y231" s="32">
        <f t="shared" si="65"/>
        <v>86600</v>
      </c>
      <c r="Z231" s="32">
        <f t="shared" si="55"/>
        <v>151111.116</v>
      </c>
      <c r="AA231" s="32"/>
      <c r="AB231" s="32">
        <f t="shared" si="67"/>
        <v>57398.796</v>
      </c>
      <c r="AC231" s="34">
        <f t="shared" si="56"/>
        <v>27335.160000000003</v>
      </c>
      <c r="AD231" s="8">
        <v>150520.45</v>
      </c>
      <c r="AE231" s="8">
        <v>8689.7</v>
      </c>
      <c r="AF231" s="34">
        <f>SUM(AD231:AE231)</f>
        <v>159210.15000000002</v>
      </c>
      <c r="AG231" s="32">
        <f t="shared" si="57"/>
        <v>138225.67200000002</v>
      </c>
      <c r="AH231" s="32"/>
      <c r="AI231" s="32">
        <f t="shared" si="66"/>
        <v>1542028.942</v>
      </c>
    </row>
    <row r="232" spans="1:35" ht="15.75">
      <c r="A232" s="3" t="s">
        <v>138</v>
      </c>
      <c r="B232" s="4" t="s">
        <v>72</v>
      </c>
      <c r="C232" s="3" t="s">
        <v>66</v>
      </c>
      <c r="D232" s="26">
        <v>2978.7</v>
      </c>
      <c r="E232" s="19">
        <f t="shared" si="58"/>
        <v>12867.983999999999</v>
      </c>
      <c r="F232" s="19">
        <f t="shared" si="59"/>
        <v>42535.835999999996</v>
      </c>
      <c r="G232" s="19">
        <f t="shared" si="60"/>
        <v>42178.39199999999</v>
      </c>
      <c r="H232" s="19">
        <f t="shared" si="61"/>
        <v>9293.544</v>
      </c>
      <c r="I232" s="19">
        <f t="shared" si="62"/>
        <v>2144.6639999999998</v>
      </c>
      <c r="J232" s="19">
        <f t="shared" si="63"/>
        <v>6433.991999999999</v>
      </c>
      <c r="K232" s="19">
        <f>48*8*4+48*6*2</f>
        <v>2112</v>
      </c>
      <c r="L232" s="8">
        <f>144.73*3</f>
        <v>434.18999999999994</v>
      </c>
      <c r="M232" s="8"/>
      <c r="N232" s="8"/>
      <c r="O232" s="24">
        <f t="shared" si="53"/>
        <v>8191.425</v>
      </c>
      <c r="P232" s="32">
        <f t="shared" si="64"/>
        <v>126192.02699999999</v>
      </c>
      <c r="Q232" s="32">
        <f t="shared" si="68"/>
        <v>46854.951</v>
      </c>
      <c r="R232" s="34">
        <f t="shared" si="54"/>
        <v>109914.03</v>
      </c>
      <c r="S232" s="19"/>
      <c r="T232" s="19"/>
      <c r="U232" s="19"/>
      <c r="V232" s="19"/>
      <c r="W232" s="19"/>
      <c r="X232" s="19"/>
      <c r="Y232" s="32">
        <f t="shared" si="65"/>
        <v>0</v>
      </c>
      <c r="Z232" s="32">
        <f t="shared" si="55"/>
        <v>46110.276</v>
      </c>
      <c r="AA232" s="32"/>
      <c r="AB232" s="32">
        <f t="shared" si="67"/>
        <v>17514.755999999998</v>
      </c>
      <c r="AC232" s="34">
        <f t="shared" si="56"/>
        <v>8342.76</v>
      </c>
      <c r="AD232" s="8">
        <v>58341.75</v>
      </c>
      <c r="AE232" s="8">
        <v>3475.88</v>
      </c>
      <c r="AF232" s="34">
        <f>SUM(AD232:AE232)</f>
        <v>61817.63</v>
      </c>
      <c r="AG232" s="32">
        <f t="shared" si="57"/>
        <v>42178.39199999999</v>
      </c>
      <c r="AH232" s="32"/>
      <c r="AI232" s="32">
        <f t="shared" si="66"/>
        <v>458924.82200000004</v>
      </c>
    </row>
    <row r="233" spans="1:35" ht="15.75">
      <c r="A233" s="3" t="s">
        <v>138</v>
      </c>
      <c r="B233" s="4" t="s">
        <v>72</v>
      </c>
      <c r="C233" s="3" t="s">
        <v>111</v>
      </c>
      <c r="D233" s="26">
        <v>4452.4</v>
      </c>
      <c r="E233" s="19">
        <f t="shared" si="58"/>
        <v>19234.368</v>
      </c>
      <c r="F233" s="19">
        <f t="shared" si="59"/>
        <v>63580.272</v>
      </c>
      <c r="G233" s="19">
        <f t="shared" si="60"/>
        <v>63045.984</v>
      </c>
      <c r="H233" s="19">
        <f t="shared" si="61"/>
        <v>13891.488000000001</v>
      </c>
      <c r="I233" s="19">
        <f t="shared" si="62"/>
        <v>3205.727999999999</v>
      </c>
      <c r="J233" s="19">
        <f t="shared" si="63"/>
        <v>9617.184</v>
      </c>
      <c r="K233" s="19">
        <f>90*8+90*6*0</f>
        <v>720</v>
      </c>
      <c r="L233" s="8">
        <f>144.73*3</f>
        <v>434.18999999999994</v>
      </c>
      <c r="M233" s="8"/>
      <c r="N233" s="8"/>
      <c r="O233" s="24">
        <f t="shared" si="53"/>
        <v>12244.1</v>
      </c>
      <c r="P233" s="32">
        <f t="shared" si="64"/>
        <v>185973.31400000004</v>
      </c>
      <c r="Q233" s="32">
        <f t="shared" si="68"/>
        <v>70036.252</v>
      </c>
      <c r="R233" s="34">
        <f t="shared" si="54"/>
        <v>164293.56</v>
      </c>
      <c r="S233" s="19">
        <f>90*120</f>
        <v>10800</v>
      </c>
      <c r="T233" s="19">
        <f>200*135</f>
        <v>27000</v>
      </c>
      <c r="U233" s="19"/>
      <c r="V233" s="19"/>
      <c r="W233" s="19">
        <f>2.2*220</f>
        <v>484.00000000000006</v>
      </c>
      <c r="X233" s="19"/>
      <c r="Y233" s="32">
        <f t="shared" si="65"/>
        <v>38284</v>
      </c>
      <c r="Z233" s="32">
        <f t="shared" si="55"/>
        <v>68923.152</v>
      </c>
      <c r="AA233" s="32"/>
      <c r="AB233" s="32">
        <f t="shared" si="67"/>
        <v>26180.112</v>
      </c>
      <c r="AC233" s="34">
        <f t="shared" si="56"/>
        <v>12469.12</v>
      </c>
      <c r="AD233" s="8"/>
      <c r="AE233" s="8"/>
      <c r="AF233" s="34"/>
      <c r="AG233" s="32">
        <f t="shared" si="57"/>
        <v>63045.984</v>
      </c>
      <c r="AH233" s="32"/>
      <c r="AI233" s="32">
        <f t="shared" si="66"/>
        <v>629205.494</v>
      </c>
    </row>
    <row r="234" spans="1:35" ht="15.75">
      <c r="A234" s="3" t="s">
        <v>138</v>
      </c>
      <c r="B234" s="4" t="s">
        <v>72</v>
      </c>
      <c r="C234" s="3" t="s">
        <v>114</v>
      </c>
      <c r="D234" s="26">
        <v>4396.9</v>
      </c>
      <c r="E234" s="19">
        <f t="shared" si="58"/>
        <v>18994.607999999997</v>
      </c>
      <c r="F234" s="19">
        <f t="shared" si="59"/>
        <v>62787.731999999996</v>
      </c>
      <c r="G234" s="19">
        <f t="shared" si="60"/>
        <v>62260.10399999999</v>
      </c>
      <c r="H234" s="19">
        <f t="shared" si="61"/>
        <v>13718.328</v>
      </c>
      <c r="I234" s="19">
        <f t="shared" si="62"/>
        <v>3165.7679999999996</v>
      </c>
      <c r="J234" s="19">
        <f t="shared" si="63"/>
        <v>9497.303999999998</v>
      </c>
      <c r="K234" s="19">
        <f>90*8+90*6*2</f>
        <v>1800</v>
      </c>
      <c r="L234" s="8">
        <f>144.73*3</f>
        <v>434.18999999999994</v>
      </c>
      <c r="M234" s="8"/>
      <c r="N234" s="8"/>
      <c r="O234" s="24">
        <f t="shared" si="53"/>
        <v>12091.475</v>
      </c>
      <c r="P234" s="32">
        <f t="shared" si="64"/>
        <v>184749.50900000002</v>
      </c>
      <c r="Q234" s="32">
        <f t="shared" si="68"/>
        <v>69163.237</v>
      </c>
      <c r="R234" s="34">
        <f t="shared" si="54"/>
        <v>162245.61</v>
      </c>
      <c r="S234" s="19"/>
      <c r="T234" s="19"/>
      <c r="U234" s="19"/>
      <c r="V234" s="19"/>
      <c r="W234" s="19"/>
      <c r="X234" s="19"/>
      <c r="Y234" s="32">
        <f t="shared" si="65"/>
        <v>0</v>
      </c>
      <c r="Z234" s="32">
        <f t="shared" si="55"/>
        <v>68064.01199999999</v>
      </c>
      <c r="AA234" s="32"/>
      <c r="AB234" s="32">
        <f t="shared" si="67"/>
        <v>25853.771999999997</v>
      </c>
      <c r="AC234" s="34">
        <f t="shared" si="56"/>
        <v>12313.72</v>
      </c>
      <c r="AD234" s="8"/>
      <c r="AE234" s="8"/>
      <c r="AF234" s="34"/>
      <c r="AG234" s="32">
        <f t="shared" si="57"/>
        <v>62260.10399999999</v>
      </c>
      <c r="AH234" s="32">
        <v>57500</v>
      </c>
      <c r="AI234" s="32">
        <f t="shared" si="66"/>
        <v>642149.9639999999</v>
      </c>
    </row>
    <row r="235" spans="1:35" ht="15.75">
      <c r="A235" s="3" t="s">
        <v>138</v>
      </c>
      <c r="B235" s="4" t="s">
        <v>3</v>
      </c>
      <c r="C235" s="3" t="s">
        <v>66</v>
      </c>
      <c r="D235" s="26">
        <v>6373.9</v>
      </c>
      <c r="E235" s="19">
        <f t="shared" si="58"/>
        <v>27535.248</v>
      </c>
      <c r="F235" s="19">
        <f t="shared" si="59"/>
        <v>91019.29199999999</v>
      </c>
      <c r="G235" s="19">
        <f t="shared" si="60"/>
        <v>90254.424</v>
      </c>
      <c r="H235" s="19">
        <f t="shared" si="61"/>
        <v>19886.568</v>
      </c>
      <c r="I235" s="19">
        <f t="shared" si="62"/>
        <v>4589.208</v>
      </c>
      <c r="J235" s="19">
        <f t="shared" si="63"/>
        <v>13767.624</v>
      </c>
      <c r="K235" s="19">
        <f>129*8+129*6*2</f>
        <v>2580</v>
      </c>
      <c r="L235" s="8">
        <f>144.73*3</f>
        <v>434.18999999999994</v>
      </c>
      <c r="M235" s="8"/>
      <c r="N235" s="8"/>
      <c r="O235" s="24">
        <f t="shared" si="53"/>
        <v>17528.225</v>
      </c>
      <c r="P235" s="32">
        <f t="shared" si="64"/>
        <v>267594.779</v>
      </c>
      <c r="Q235" s="32">
        <f t="shared" si="68"/>
        <v>100261.447</v>
      </c>
      <c r="R235" s="34">
        <f t="shared" si="54"/>
        <v>235196.90999999997</v>
      </c>
      <c r="S235" s="19"/>
      <c r="T235" s="19"/>
      <c r="U235" s="19"/>
      <c r="V235" s="19"/>
      <c r="W235" s="19"/>
      <c r="X235" s="19"/>
      <c r="Y235" s="32">
        <f t="shared" si="65"/>
        <v>0</v>
      </c>
      <c r="Z235" s="32">
        <f t="shared" si="55"/>
        <v>98667.97200000001</v>
      </c>
      <c r="AA235" s="32"/>
      <c r="AB235" s="32">
        <f t="shared" si="67"/>
        <v>37478.532</v>
      </c>
      <c r="AC235" s="34">
        <f t="shared" si="56"/>
        <v>17849.32</v>
      </c>
      <c r="AD235" s="8"/>
      <c r="AE235" s="8"/>
      <c r="AF235" s="34"/>
      <c r="AG235" s="32">
        <f t="shared" si="57"/>
        <v>90254.424</v>
      </c>
      <c r="AH235" s="32">
        <v>57500</v>
      </c>
      <c r="AI235" s="32">
        <f t="shared" si="66"/>
        <v>904803.384</v>
      </c>
    </row>
    <row r="236" spans="1:35" ht="15.75">
      <c r="A236" s="3" t="s">
        <v>138</v>
      </c>
      <c r="B236" s="4" t="s">
        <v>3</v>
      </c>
      <c r="C236" s="3" t="s">
        <v>111</v>
      </c>
      <c r="D236" s="26">
        <v>2661.5</v>
      </c>
      <c r="E236" s="19">
        <f t="shared" si="58"/>
        <v>11497.68</v>
      </c>
      <c r="F236" s="19">
        <f t="shared" si="59"/>
        <v>38006.22</v>
      </c>
      <c r="G236" s="19">
        <f t="shared" si="60"/>
        <v>37686.84</v>
      </c>
      <c r="H236" s="19">
        <f t="shared" si="61"/>
        <v>8303.880000000001</v>
      </c>
      <c r="I236" s="19">
        <f t="shared" si="62"/>
        <v>1916.28</v>
      </c>
      <c r="J236" s="19">
        <f t="shared" si="63"/>
        <v>5748.84</v>
      </c>
      <c r="K236" s="19">
        <f>60*8+60*6*2</f>
        <v>1200</v>
      </c>
      <c r="L236" s="8">
        <f>144.73*2</f>
        <v>289.46</v>
      </c>
      <c r="M236" s="8"/>
      <c r="N236" s="8"/>
      <c r="O236" s="24">
        <f t="shared" si="53"/>
        <v>7319.125</v>
      </c>
      <c r="P236" s="32">
        <f t="shared" si="64"/>
        <v>111968.325</v>
      </c>
      <c r="Q236" s="32">
        <f t="shared" si="68"/>
        <v>41865.395000000004</v>
      </c>
      <c r="R236" s="34">
        <f t="shared" si="54"/>
        <v>98209.35</v>
      </c>
      <c r="S236" s="19">
        <f>40*120</f>
        <v>4800</v>
      </c>
      <c r="T236" s="19"/>
      <c r="U236" s="19"/>
      <c r="V236" s="19"/>
      <c r="W236" s="19"/>
      <c r="X236" s="19"/>
      <c r="Y236" s="32">
        <f t="shared" si="65"/>
        <v>4800</v>
      </c>
      <c r="Z236" s="32">
        <f t="shared" si="55"/>
        <v>41200.020000000004</v>
      </c>
      <c r="AA236" s="32"/>
      <c r="AB236" s="32">
        <f t="shared" si="67"/>
        <v>15649.619999999999</v>
      </c>
      <c r="AC236" s="34">
        <f t="shared" si="56"/>
        <v>7454.6</v>
      </c>
      <c r="AD236" s="8"/>
      <c r="AE236" s="8"/>
      <c r="AF236" s="34"/>
      <c r="AG236" s="32">
        <f t="shared" si="57"/>
        <v>37686.84</v>
      </c>
      <c r="AH236" s="32">
        <v>57500</v>
      </c>
      <c r="AI236" s="32">
        <f t="shared" si="66"/>
        <v>416334.15</v>
      </c>
    </row>
    <row r="237" spans="1:35" ht="15.75">
      <c r="A237" s="3" t="s">
        <v>138</v>
      </c>
      <c r="B237" s="4" t="s">
        <v>3</v>
      </c>
      <c r="C237" s="3" t="s">
        <v>139</v>
      </c>
      <c r="D237" s="26">
        <v>4534.7</v>
      </c>
      <c r="E237" s="19">
        <f t="shared" si="58"/>
        <v>19589.904</v>
      </c>
      <c r="F237" s="19">
        <f t="shared" si="59"/>
        <v>64755.515999999996</v>
      </c>
      <c r="G237" s="19">
        <f t="shared" si="60"/>
        <v>64211.352</v>
      </c>
      <c r="H237" s="19">
        <f t="shared" si="61"/>
        <v>14148.264</v>
      </c>
      <c r="I237" s="19">
        <f t="shared" si="62"/>
        <v>3264.984</v>
      </c>
      <c r="J237" s="19">
        <f t="shared" si="63"/>
        <v>9794.952</v>
      </c>
      <c r="K237" s="19">
        <f>90*8+90*6*2</f>
        <v>1800</v>
      </c>
      <c r="L237" s="8">
        <f>144.73*3</f>
        <v>434.18999999999994</v>
      </c>
      <c r="M237" s="8"/>
      <c r="N237" s="8"/>
      <c r="O237" s="24">
        <f t="shared" si="53"/>
        <v>12470.425</v>
      </c>
      <c r="P237" s="32">
        <f t="shared" si="64"/>
        <v>190469.58699999997</v>
      </c>
      <c r="Q237" s="32">
        <f t="shared" si="68"/>
        <v>71330.831</v>
      </c>
      <c r="R237" s="34">
        <f t="shared" si="54"/>
        <v>167330.43</v>
      </c>
      <c r="S237" s="19">
        <f>120*120</f>
        <v>14400</v>
      </c>
      <c r="T237" s="19">
        <f>50*135</f>
        <v>6750</v>
      </c>
      <c r="U237" s="19"/>
      <c r="V237" s="19"/>
      <c r="W237" s="19"/>
      <c r="X237" s="19"/>
      <c r="Y237" s="32">
        <f t="shared" si="65"/>
        <v>21150</v>
      </c>
      <c r="Z237" s="32">
        <f t="shared" si="55"/>
        <v>70197.156</v>
      </c>
      <c r="AA237" s="32"/>
      <c r="AB237" s="32">
        <f t="shared" si="67"/>
        <v>26664.035999999996</v>
      </c>
      <c r="AC237" s="34">
        <f t="shared" si="56"/>
        <v>12699.56</v>
      </c>
      <c r="AD237" s="8"/>
      <c r="AE237" s="8"/>
      <c r="AF237" s="34"/>
      <c r="AG237" s="32">
        <f t="shared" si="57"/>
        <v>64211.352</v>
      </c>
      <c r="AH237" s="32">
        <v>57500</v>
      </c>
      <c r="AI237" s="32">
        <f t="shared" si="66"/>
        <v>681552.952</v>
      </c>
    </row>
    <row r="238" spans="1:35" ht="15.75">
      <c r="A238" s="3" t="s">
        <v>140</v>
      </c>
      <c r="B238" s="4" t="s">
        <v>40</v>
      </c>
      <c r="C238" s="3" t="s">
        <v>2</v>
      </c>
      <c r="D238" s="26">
        <v>50.2</v>
      </c>
      <c r="E238" s="19">
        <f t="shared" si="58"/>
        <v>216.86399999999998</v>
      </c>
      <c r="F238" s="19">
        <f t="shared" si="59"/>
        <v>716.856</v>
      </c>
      <c r="G238" s="19">
        <f t="shared" si="60"/>
        <v>710.832</v>
      </c>
      <c r="H238" s="19">
        <f t="shared" si="61"/>
        <v>156.62400000000002</v>
      </c>
      <c r="I238" s="19">
        <f t="shared" si="62"/>
        <v>36.144</v>
      </c>
      <c r="J238" s="19">
        <f t="shared" si="63"/>
        <v>108.43199999999999</v>
      </c>
      <c r="K238" s="19">
        <f>2*230</f>
        <v>460</v>
      </c>
      <c r="L238" s="8"/>
      <c r="M238" s="8"/>
      <c r="N238" s="8"/>
      <c r="O238" s="24">
        <f t="shared" si="53"/>
        <v>138.05</v>
      </c>
      <c r="P238" s="32">
        <f t="shared" si="64"/>
        <v>2543.8020000000006</v>
      </c>
      <c r="Q238" s="32">
        <f t="shared" si="68"/>
        <v>789.6460000000002</v>
      </c>
      <c r="R238" s="34">
        <f t="shared" si="54"/>
        <v>1852.3800000000003</v>
      </c>
      <c r="S238" s="19"/>
      <c r="T238" s="19"/>
      <c r="U238" s="19"/>
      <c r="V238" s="19"/>
      <c r="W238" s="19"/>
      <c r="X238" s="19"/>
      <c r="Y238" s="32">
        <f t="shared" si="65"/>
        <v>0</v>
      </c>
      <c r="Z238" s="32">
        <f t="shared" si="55"/>
        <v>777.0960000000001</v>
      </c>
      <c r="AA238" s="32"/>
      <c r="AB238" s="32">
        <f t="shared" si="67"/>
        <v>295.17600000000004</v>
      </c>
      <c r="AC238" s="34">
        <f t="shared" si="56"/>
        <v>142.96</v>
      </c>
      <c r="AD238" s="8"/>
      <c r="AE238" s="8"/>
      <c r="AF238" s="34"/>
      <c r="AG238" s="32">
        <f t="shared" si="57"/>
        <v>710.832</v>
      </c>
      <c r="AH238" s="32"/>
      <c r="AI238" s="32">
        <f t="shared" si="66"/>
        <v>7111.892000000003</v>
      </c>
    </row>
    <row r="239" spans="1:35" ht="15.75">
      <c r="A239" s="3" t="s">
        <v>141</v>
      </c>
      <c r="B239" s="4" t="s">
        <v>1</v>
      </c>
      <c r="C239" s="3" t="s">
        <v>2</v>
      </c>
      <c r="D239" s="26">
        <v>3472.4</v>
      </c>
      <c r="E239" s="19">
        <f t="shared" si="58"/>
        <v>15000.768</v>
      </c>
      <c r="F239" s="19">
        <f t="shared" si="59"/>
        <v>49585.872</v>
      </c>
      <c r="G239" s="19">
        <f t="shared" si="60"/>
        <v>49169.183999999994</v>
      </c>
      <c r="H239" s="19">
        <f t="shared" si="61"/>
        <v>10833.888</v>
      </c>
      <c r="I239" s="19">
        <f t="shared" si="62"/>
        <v>2500.1279999999997</v>
      </c>
      <c r="J239" s="19">
        <f t="shared" si="63"/>
        <v>7500.384</v>
      </c>
      <c r="K239" s="19">
        <f>76*2*6</f>
        <v>912</v>
      </c>
      <c r="L239" s="8">
        <f>144.73*88</f>
        <v>12736.24</v>
      </c>
      <c r="M239" s="8"/>
      <c r="N239" s="8"/>
      <c r="O239" s="24">
        <f t="shared" si="53"/>
        <v>9549.1</v>
      </c>
      <c r="P239" s="32">
        <f t="shared" si="64"/>
        <v>157787.56399999998</v>
      </c>
      <c r="Q239" s="32">
        <f t="shared" si="68"/>
        <v>54620.852000000006</v>
      </c>
      <c r="R239" s="34">
        <f t="shared" si="54"/>
        <v>128131.56000000001</v>
      </c>
      <c r="S239" s="19"/>
      <c r="T239" s="19"/>
      <c r="U239" s="19"/>
      <c r="V239" s="19"/>
      <c r="W239" s="19"/>
      <c r="X239" s="19">
        <v>69000</v>
      </c>
      <c r="Y239" s="32">
        <f t="shared" si="65"/>
        <v>69000</v>
      </c>
      <c r="Z239" s="32">
        <f t="shared" si="55"/>
        <v>53752.75200000001</v>
      </c>
      <c r="AA239" s="32"/>
      <c r="AB239" s="32">
        <f t="shared" si="67"/>
        <v>20417.712</v>
      </c>
      <c r="AC239" s="34">
        <f t="shared" si="56"/>
        <v>9725.12</v>
      </c>
      <c r="AD239" s="8"/>
      <c r="AE239" s="8"/>
      <c r="AF239" s="34"/>
      <c r="AG239" s="32">
        <f t="shared" si="57"/>
        <v>49169.183999999994</v>
      </c>
      <c r="AH239" s="32"/>
      <c r="AI239" s="32">
        <f t="shared" si="66"/>
        <v>542604.744</v>
      </c>
    </row>
    <row r="240" spans="1:35" ht="15.75">
      <c r="A240" s="3" t="s">
        <v>141</v>
      </c>
      <c r="B240" s="4" t="s">
        <v>69</v>
      </c>
      <c r="C240" s="3" t="s">
        <v>2</v>
      </c>
      <c r="D240" s="26">
        <v>2693.4</v>
      </c>
      <c r="E240" s="19">
        <f t="shared" si="58"/>
        <v>11635.488000000001</v>
      </c>
      <c r="F240" s="19">
        <f t="shared" si="59"/>
        <v>38461.752</v>
      </c>
      <c r="G240" s="19">
        <f t="shared" si="60"/>
        <v>38138.544</v>
      </c>
      <c r="H240" s="19">
        <f t="shared" si="61"/>
        <v>8403.408</v>
      </c>
      <c r="I240" s="19">
        <f t="shared" si="62"/>
        <v>1939.248</v>
      </c>
      <c r="J240" s="19">
        <f t="shared" si="63"/>
        <v>5817.744000000001</v>
      </c>
      <c r="K240" s="19">
        <f>60*8+60*6*2</f>
        <v>1200</v>
      </c>
      <c r="L240" s="8">
        <f>144.73*3</f>
        <v>434.18999999999994</v>
      </c>
      <c r="M240" s="8"/>
      <c r="N240" s="8"/>
      <c r="O240" s="24">
        <f t="shared" si="53"/>
        <v>7406.85</v>
      </c>
      <c r="P240" s="32">
        <f t="shared" si="64"/>
        <v>113437.22400000003</v>
      </c>
      <c r="Q240" s="32">
        <f t="shared" si="68"/>
        <v>42367.182</v>
      </c>
      <c r="R240" s="34">
        <f t="shared" si="54"/>
        <v>99386.46000000002</v>
      </c>
      <c r="S240" s="19"/>
      <c r="T240" s="19"/>
      <c r="U240" s="19"/>
      <c r="V240" s="19"/>
      <c r="W240" s="19"/>
      <c r="X240" s="19"/>
      <c r="Y240" s="32">
        <f t="shared" si="65"/>
        <v>0</v>
      </c>
      <c r="Z240" s="32">
        <f t="shared" si="55"/>
        <v>41693.832</v>
      </c>
      <c r="AA240" s="32"/>
      <c r="AB240" s="32">
        <f t="shared" si="67"/>
        <v>15837.192000000001</v>
      </c>
      <c r="AC240" s="34">
        <f t="shared" si="56"/>
        <v>7543.92</v>
      </c>
      <c r="AD240" s="8"/>
      <c r="AE240" s="8"/>
      <c r="AF240" s="34"/>
      <c r="AG240" s="32">
        <f t="shared" si="57"/>
        <v>38138.544</v>
      </c>
      <c r="AH240" s="32"/>
      <c r="AI240" s="32">
        <f t="shared" si="66"/>
        <v>358404.354</v>
      </c>
    </row>
    <row r="241" spans="1:35" ht="15.75">
      <c r="A241" s="3" t="s">
        <v>141</v>
      </c>
      <c r="B241" s="4" t="s">
        <v>70</v>
      </c>
      <c r="C241" s="3" t="s">
        <v>2</v>
      </c>
      <c r="D241" s="26">
        <v>1342.5</v>
      </c>
      <c r="E241" s="19">
        <f t="shared" si="58"/>
        <v>5799.599999999999</v>
      </c>
      <c r="F241" s="19">
        <f t="shared" si="59"/>
        <v>19170.899999999998</v>
      </c>
      <c r="G241" s="19">
        <f t="shared" si="60"/>
        <v>19009.8</v>
      </c>
      <c r="H241" s="19">
        <f t="shared" si="61"/>
        <v>4188.6</v>
      </c>
      <c r="I241" s="19">
        <f t="shared" si="62"/>
        <v>966.5999999999999</v>
      </c>
      <c r="J241" s="19">
        <f t="shared" si="63"/>
        <v>2899.7999999999997</v>
      </c>
      <c r="K241" s="19">
        <f>25*6*2</f>
        <v>300</v>
      </c>
      <c r="L241" s="8">
        <f>144.73*31</f>
        <v>4486.63</v>
      </c>
      <c r="M241" s="8"/>
      <c r="N241" s="8"/>
      <c r="O241" s="24">
        <f t="shared" si="53"/>
        <v>3691.8750000000005</v>
      </c>
      <c r="P241" s="32">
        <f t="shared" si="64"/>
        <v>60513.80499999999</v>
      </c>
      <c r="Q241" s="32">
        <f t="shared" si="68"/>
        <v>21117.525</v>
      </c>
      <c r="R241" s="34">
        <f t="shared" si="54"/>
        <v>49538.25</v>
      </c>
      <c r="S241" s="19"/>
      <c r="T241" s="19"/>
      <c r="U241" s="19"/>
      <c r="V241" s="19"/>
      <c r="W241" s="19"/>
      <c r="X241" s="19"/>
      <c r="Y241" s="32">
        <f t="shared" si="65"/>
        <v>0</v>
      </c>
      <c r="Z241" s="32">
        <f t="shared" si="55"/>
        <v>20781.9</v>
      </c>
      <c r="AA241" s="32"/>
      <c r="AB241" s="32">
        <f t="shared" si="67"/>
        <v>7893.9</v>
      </c>
      <c r="AC241" s="34">
        <f t="shared" si="56"/>
        <v>3761.4</v>
      </c>
      <c r="AD241" s="8"/>
      <c r="AE241" s="8"/>
      <c r="AF241" s="34"/>
      <c r="AG241" s="32">
        <f t="shared" si="57"/>
        <v>19009.8</v>
      </c>
      <c r="AH241" s="32"/>
      <c r="AI241" s="32">
        <f t="shared" si="66"/>
        <v>182616.57999999996</v>
      </c>
    </row>
    <row r="242" spans="1:35" ht="15.75">
      <c r="A242" s="3" t="s">
        <v>141</v>
      </c>
      <c r="B242" s="4" t="s">
        <v>32</v>
      </c>
      <c r="C242" s="3" t="s">
        <v>2</v>
      </c>
      <c r="D242" s="26">
        <v>740.6</v>
      </c>
      <c r="E242" s="19">
        <f t="shared" si="58"/>
        <v>3199.392</v>
      </c>
      <c r="F242" s="19">
        <f t="shared" si="59"/>
        <v>10575.768</v>
      </c>
      <c r="G242" s="19">
        <f t="shared" si="60"/>
        <v>10486.896</v>
      </c>
      <c r="H242" s="19">
        <f t="shared" si="61"/>
        <v>2310.672</v>
      </c>
      <c r="I242" s="19">
        <f t="shared" si="62"/>
        <v>533.232</v>
      </c>
      <c r="J242" s="19">
        <f t="shared" si="63"/>
        <v>1599.696</v>
      </c>
      <c r="K242" s="19">
        <f>10*4*8+10*6*2</f>
        <v>440</v>
      </c>
      <c r="L242" s="8"/>
      <c r="M242" s="8"/>
      <c r="N242" s="8"/>
      <c r="O242" s="24">
        <f t="shared" si="53"/>
        <v>2036.65</v>
      </c>
      <c r="P242" s="32">
        <f t="shared" si="64"/>
        <v>31182.306</v>
      </c>
      <c r="Q242" s="32"/>
      <c r="R242" s="34">
        <f t="shared" si="54"/>
        <v>27328.140000000003</v>
      </c>
      <c r="S242" s="19"/>
      <c r="T242" s="19"/>
      <c r="U242" s="19"/>
      <c r="V242" s="19"/>
      <c r="W242" s="19"/>
      <c r="X242" s="19"/>
      <c r="Y242" s="32">
        <f t="shared" si="65"/>
        <v>0</v>
      </c>
      <c r="Z242" s="32">
        <f t="shared" si="55"/>
        <v>11464.488000000001</v>
      </c>
      <c r="AA242" s="32"/>
      <c r="AB242" s="32">
        <f t="shared" si="67"/>
        <v>4354.728</v>
      </c>
      <c r="AC242" s="34">
        <f t="shared" si="56"/>
        <v>2076.0800000000004</v>
      </c>
      <c r="AD242" s="8"/>
      <c r="AE242" s="8"/>
      <c r="AF242" s="34"/>
      <c r="AG242" s="32">
        <f t="shared" si="57"/>
        <v>10486.896</v>
      </c>
      <c r="AH242" s="32"/>
      <c r="AI242" s="32">
        <f t="shared" si="66"/>
        <v>86892.638</v>
      </c>
    </row>
    <row r="243" spans="1:35" ht="15.75">
      <c r="A243" s="3" t="s">
        <v>141</v>
      </c>
      <c r="B243" s="4" t="s">
        <v>35</v>
      </c>
      <c r="C243" s="3" t="s">
        <v>66</v>
      </c>
      <c r="D243" s="26">
        <v>4718.1</v>
      </c>
      <c r="E243" s="19">
        <f t="shared" si="58"/>
        <v>20382.192000000003</v>
      </c>
      <c r="F243" s="19">
        <f t="shared" si="59"/>
        <v>67374.468</v>
      </c>
      <c r="G243" s="19">
        <f t="shared" si="60"/>
        <v>66808.296</v>
      </c>
      <c r="H243" s="19">
        <f t="shared" si="61"/>
        <v>14720.472000000002</v>
      </c>
      <c r="I243" s="19">
        <f t="shared" si="62"/>
        <v>3397.032</v>
      </c>
      <c r="J243" s="19">
        <f t="shared" si="63"/>
        <v>10191.096000000001</v>
      </c>
      <c r="K243" s="19">
        <f>92*8+92*6*2</f>
        <v>1840</v>
      </c>
      <c r="L243" s="8">
        <f>144.73*2</f>
        <v>289.46</v>
      </c>
      <c r="M243" s="8"/>
      <c r="N243" s="8"/>
      <c r="O243" s="24">
        <f t="shared" si="53"/>
        <v>12974.775000000001</v>
      </c>
      <c r="P243" s="32">
        <f t="shared" si="64"/>
        <v>197977.791</v>
      </c>
      <c r="Q243" s="32">
        <f aca="true" t="shared" si="69" ref="Q243:Q253">D243*1.27*5+D243*1.34*7</f>
        <v>74215.71300000002</v>
      </c>
      <c r="R243" s="34">
        <f t="shared" si="54"/>
        <v>174097.89</v>
      </c>
      <c r="S243" s="19"/>
      <c r="T243" s="19"/>
      <c r="U243" s="19"/>
      <c r="V243" s="19"/>
      <c r="W243" s="19"/>
      <c r="X243" s="19"/>
      <c r="Y243" s="32">
        <f t="shared" si="65"/>
        <v>0</v>
      </c>
      <c r="Z243" s="32">
        <f t="shared" si="55"/>
        <v>73036.18800000001</v>
      </c>
      <c r="AA243" s="32"/>
      <c r="AB243" s="32">
        <f t="shared" si="67"/>
        <v>27742.428</v>
      </c>
      <c r="AC243" s="34">
        <f t="shared" si="56"/>
        <v>13213.080000000002</v>
      </c>
      <c r="AD243" s="8"/>
      <c r="AE243" s="8"/>
      <c r="AF243" s="34"/>
      <c r="AG243" s="32">
        <f t="shared" si="57"/>
        <v>66808.296</v>
      </c>
      <c r="AH243" s="32">
        <v>57500</v>
      </c>
      <c r="AI243" s="32">
        <f t="shared" si="66"/>
        <v>684591.3859999999</v>
      </c>
    </row>
    <row r="244" spans="1:35" ht="15.75">
      <c r="A244" s="3" t="s">
        <v>141</v>
      </c>
      <c r="B244" s="4" t="s">
        <v>80</v>
      </c>
      <c r="C244" s="3" t="s">
        <v>66</v>
      </c>
      <c r="D244" s="26">
        <v>3355.2</v>
      </c>
      <c r="E244" s="19">
        <f t="shared" si="58"/>
        <v>14494.463999999998</v>
      </c>
      <c r="F244" s="19">
        <f t="shared" si="59"/>
        <v>47912.255999999994</v>
      </c>
      <c r="G244" s="19">
        <f t="shared" si="60"/>
        <v>47509.632</v>
      </c>
      <c r="H244" s="19">
        <f t="shared" si="61"/>
        <v>10468.224</v>
      </c>
      <c r="I244" s="19">
        <f t="shared" si="62"/>
        <v>2415.7439999999997</v>
      </c>
      <c r="J244" s="19">
        <f t="shared" si="63"/>
        <v>7247.231999999999</v>
      </c>
      <c r="K244" s="19">
        <f>66*8+66*6*2</f>
        <v>1320</v>
      </c>
      <c r="L244" s="8">
        <f>144.73*3</f>
        <v>434.18999999999994</v>
      </c>
      <c r="M244" s="8"/>
      <c r="N244" s="8"/>
      <c r="O244" s="24">
        <f t="shared" si="53"/>
        <v>9226.800000000001</v>
      </c>
      <c r="P244" s="32">
        <f t="shared" si="64"/>
        <v>141028.542</v>
      </c>
      <c r="Q244" s="32">
        <f t="shared" si="69"/>
        <v>52777.296</v>
      </c>
      <c r="R244" s="34">
        <f t="shared" si="54"/>
        <v>123806.87999999998</v>
      </c>
      <c r="S244" s="19"/>
      <c r="T244" s="19"/>
      <c r="U244" s="19"/>
      <c r="V244" s="19"/>
      <c r="W244" s="19"/>
      <c r="X244" s="19"/>
      <c r="Y244" s="32">
        <f t="shared" si="65"/>
        <v>0</v>
      </c>
      <c r="Z244" s="32">
        <f t="shared" si="55"/>
        <v>51938.496</v>
      </c>
      <c r="AA244" s="32"/>
      <c r="AB244" s="32">
        <f t="shared" si="67"/>
        <v>19728.575999999997</v>
      </c>
      <c r="AC244" s="34">
        <f t="shared" si="56"/>
        <v>9396.96</v>
      </c>
      <c r="AD244" s="8"/>
      <c r="AE244" s="8"/>
      <c r="AF244" s="34"/>
      <c r="AG244" s="32">
        <f t="shared" si="57"/>
        <v>47509.632</v>
      </c>
      <c r="AH244" s="32">
        <v>57500</v>
      </c>
      <c r="AI244" s="32">
        <f t="shared" si="66"/>
        <v>503686.382</v>
      </c>
    </row>
    <row r="245" spans="1:35" ht="15.75">
      <c r="A245" s="3" t="s">
        <v>141</v>
      </c>
      <c r="B245" s="4" t="s">
        <v>80</v>
      </c>
      <c r="C245" s="3" t="s">
        <v>111</v>
      </c>
      <c r="D245" s="26">
        <v>4453.9</v>
      </c>
      <c r="E245" s="19">
        <f t="shared" si="58"/>
        <v>19240.847999999998</v>
      </c>
      <c r="F245" s="19">
        <f t="shared" si="59"/>
        <v>63601.691999999995</v>
      </c>
      <c r="G245" s="19">
        <f t="shared" si="60"/>
        <v>63067.22399999999</v>
      </c>
      <c r="H245" s="19">
        <f t="shared" si="61"/>
        <v>13896.167999999998</v>
      </c>
      <c r="I245" s="19">
        <f t="shared" si="62"/>
        <v>3206.808</v>
      </c>
      <c r="J245" s="19">
        <f t="shared" si="63"/>
        <v>9620.423999999999</v>
      </c>
      <c r="K245" s="19">
        <f>99*6*2</f>
        <v>1188</v>
      </c>
      <c r="L245" s="8">
        <f>144.73*3</f>
        <v>434.18999999999994</v>
      </c>
      <c r="M245" s="8"/>
      <c r="N245" s="8"/>
      <c r="O245" s="24">
        <f t="shared" si="53"/>
        <v>12248.225</v>
      </c>
      <c r="P245" s="32">
        <f t="shared" si="64"/>
        <v>186503.57899999997</v>
      </c>
      <c r="Q245" s="32">
        <f t="shared" si="69"/>
        <v>70059.847</v>
      </c>
      <c r="R245" s="34">
        <f t="shared" si="54"/>
        <v>164348.90999999997</v>
      </c>
      <c r="S245" s="19"/>
      <c r="T245" s="19"/>
      <c r="U245" s="19"/>
      <c r="V245" s="19"/>
      <c r="W245" s="19"/>
      <c r="X245" s="19">
        <v>4000</v>
      </c>
      <c r="Y245" s="32">
        <f t="shared" si="65"/>
        <v>4000</v>
      </c>
      <c r="Z245" s="32">
        <f t="shared" si="55"/>
        <v>68946.372</v>
      </c>
      <c r="AA245" s="32"/>
      <c r="AB245" s="32">
        <f t="shared" si="67"/>
        <v>26188.931999999993</v>
      </c>
      <c r="AC245" s="34">
        <f t="shared" si="56"/>
        <v>12473.32</v>
      </c>
      <c r="AD245" s="8"/>
      <c r="AE245" s="8"/>
      <c r="AF245" s="34"/>
      <c r="AG245" s="32">
        <f t="shared" si="57"/>
        <v>63067.22399999999</v>
      </c>
      <c r="AH245" s="32"/>
      <c r="AI245" s="32">
        <f t="shared" si="66"/>
        <v>595588.1839999999</v>
      </c>
    </row>
    <row r="246" spans="1:35" ht="15.75">
      <c r="A246" s="3" t="s">
        <v>141</v>
      </c>
      <c r="B246" s="4" t="s">
        <v>71</v>
      </c>
      <c r="C246" s="3" t="s">
        <v>2</v>
      </c>
      <c r="D246" s="26">
        <v>4902.7</v>
      </c>
      <c r="E246" s="19">
        <f t="shared" si="58"/>
        <v>21179.664</v>
      </c>
      <c r="F246" s="19">
        <f t="shared" si="59"/>
        <v>70010.556</v>
      </c>
      <c r="G246" s="19">
        <f t="shared" si="60"/>
        <v>69422.23199999999</v>
      </c>
      <c r="H246" s="19">
        <f t="shared" si="61"/>
        <v>15296.423999999999</v>
      </c>
      <c r="I246" s="19">
        <f t="shared" si="62"/>
        <v>3529.9439999999995</v>
      </c>
      <c r="J246" s="19">
        <f t="shared" si="63"/>
        <v>10589.832</v>
      </c>
      <c r="K246" s="19">
        <f>89*6*2</f>
        <v>1068</v>
      </c>
      <c r="L246" s="8">
        <f>144.73*3</f>
        <v>434.18999999999994</v>
      </c>
      <c r="M246" s="8"/>
      <c r="N246" s="8"/>
      <c r="O246" s="24">
        <f t="shared" si="53"/>
        <v>13482.425000000001</v>
      </c>
      <c r="P246" s="32">
        <f t="shared" si="64"/>
        <v>205013.26699999996</v>
      </c>
      <c r="Q246" s="32">
        <f t="shared" si="69"/>
        <v>77119.471</v>
      </c>
      <c r="R246" s="34">
        <f t="shared" si="54"/>
        <v>180909.62999999998</v>
      </c>
      <c r="S246" s="19"/>
      <c r="T246" s="19">
        <f>100*135</f>
        <v>13500</v>
      </c>
      <c r="U246" s="19"/>
      <c r="V246" s="19"/>
      <c r="W246" s="19"/>
      <c r="X246" s="19"/>
      <c r="Y246" s="32">
        <f t="shared" si="65"/>
        <v>13500</v>
      </c>
      <c r="Z246" s="32">
        <f t="shared" si="55"/>
        <v>75893.796</v>
      </c>
      <c r="AA246" s="32"/>
      <c r="AB246" s="32">
        <f t="shared" si="67"/>
        <v>28827.875999999997</v>
      </c>
      <c r="AC246" s="34">
        <f t="shared" si="56"/>
        <v>13729.96</v>
      </c>
      <c r="AD246" s="8"/>
      <c r="AE246" s="8"/>
      <c r="AF246" s="34"/>
      <c r="AG246" s="32">
        <f t="shared" si="57"/>
        <v>69422.23199999999</v>
      </c>
      <c r="AH246" s="32"/>
      <c r="AI246" s="32">
        <f t="shared" si="66"/>
        <v>664416.2319999998</v>
      </c>
    </row>
    <row r="247" spans="1:35" ht="15.75">
      <c r="A247" s="3" t="s">
        <v>141</v>
      </c>
      <c r="B247" s="4" t="s">
        <v>11</v>
      </c>
      <c r="C247" s="3" t="s">
        <v>2</v>
      </c>
      <c r="D247" s="26">
        <v>764.4</v>
      </c>
      <c r="E247" s="19">
        <f t="shared" si="58"/>
        <v>3302.2079999999996</v>
      </c>
      <c r="F247" s="19">
        <f t="shared" si="59"/>
        <v>10915.632</v>
      </c>
      <c r="G247" s="19">
        <f t="shared" si="60"/>
        <v>10823.903999999999</v>
      </c>
      <c r="H247" s="19">
        <f t="shared" si="61"/>
        <v>2384.928</v>
      </c>
      <c r="I247" s="19">
        <f t="shared" si="62"/>
        <v>550.3679999999999</v>
      </c>
      <c r="J247" s="19">
        <f t="shared" si="63"/>
        <v>1651.1039999999998</v>
      </c>
      <c r="K247" s="19">
        <f>18*8*4+18*6*2</f>
        <v>792</v>
      </c>
      <c r="L247" s="8">
        <f>144.73*2</f>
        <v>289.46</v>
      </c>
      <c r="M247" s="8"/>
      <c r="N247" s="8">
        <f>465*20.77</f>
        <v>9658.05</v>
      </c>
      <c r="O247" s="24">
        <f t="shared" si="53"/>
        <v>2102.1</v>
      </c>
      <c r="P247" s="32">
        <f t="shared" si="64"/>
        <v>42469.75399999999</v>
      </c>
      <c r="Q247" s="32">
        <f t="shared" si="69"/>
        <v>12024.012</v>
      </c>
      <c r="R247" s="34">
        <f t="shared" si="54"/>
        <v>28206.359999999997</v>
      </c>
      <c r="S247" s="19"/>
      <c r="T247" s="19"/>
      <c r="U247" s="19"/>
      <c r="V247" s="19"/>
      <c r="W247" s="19"/>
      <c r="X247" s="19">
        <v>68000</v>
      </c>
      <c r="Y247" s="32">
        <f t="shared" si="65"/>
        <v>68000</v>
      </c>
      <c r="Z247" s="32">
        <f t="shared" si="55"/>
        <v>11832.912</v>
      </c>
      <c r="AA247" s="32"/>
      <c r="AB247" s="32">
        <f t="shared" si="67"/>
        <v>4494.672</v>
      </c>
      <c r="AC247" s="34">
        <f t="shared" si="56"/>
        <v>2142.72</v>
      </c>
      <c r="AD247" s="8"/>
      <c r="AE247" s="8"/>
      <c r="AF247" s="34"/>
      <c r="AG247" s="32">
        <f t="shared" si="57"/>
        <v>10823.903999999999</v>
      </c>
      <c r="AH247" s="32"/>
      <c r="AI247" s="32">
        <f t="shared" si="66"/>
        <v>179994.334</v>
      </c>
    </row>
    <row r="248" spans="1:35" ht="15.75">
      <c r="A248" s="3" t="s">
        <v>141</v>
      </c>
      <c r="B248" s="4" t="s">
        <v>65</v>
      </c>
      <c r="C248" s="3" t="s">
        <v>2</v>
      </c>
      <c r="D248" s="26">
        <v>4891.4</v>
      </c>
      <c r="E248" s="19">
        <f t="shared" si="58"/>
        <v>21130.847999999998</v>
      </c>
      <c r="F248" s="19">
        <f t="shared" si="59"/>
        <v>69849.192</v>
      </c>
      <c r="G248" s="19">
        <f t="shared" si="60"/>
        <v>69262.22399999999</v>
      </c>
      <c r="H248" s="19">
        <f t="shared" si="61"/>
        <v>15261.167999999998</v>
      </c>
      <c r="I248" s="19">
        <f t="shared" si="62"/>
        <v>3521.808</v>
      </c>
      <c r="J248" s="19">
        <f t="shared" si="63"/>
        <v>10565.423999999999</v>
      </c>
      <c r="K248" s="19">
        <f>90*8+90*6*2</f>
        <v>1800</v>
      </c>
      <c r="L248" s="8">
        <f>144.73*2</f>
        <v>289.46</v>
      </c>
      <c r="M248" s="8"/>
      <c r="N248" s="8"/>
      <c r="O248" s="24">
        <f t="shared" si="53"/>
        <v>13451.35</v>
      </c>
      <c r="P248" s="32">
        <f t="shared" si="64"/>
        <v>205131.47399999996</v>
      </c>
      <c r="Q248" s="32">
        <f t="shared" si="69"/>
        <v>76941.722</v>
      </c>
      <c r="R248" s="34">
        <f t="shared" si="54"/>
        <v>180492.65999999997</v>
      </c>
      <c r="S248" s="19"/>
      <c r="T248" s="19"/>
      <c r="U248" s="19"/>
      <c r="V248" s="19"/>
      <c r="W248" s="19"/>
      <c r="X248" s="19"/>
      <c r="Y248" s="32">
        <f t="shared" si="65"/>
        <v>0</v>
      </c>
      <c r="Z248" s="32">
        <f t="shared" si="55"/>
        <v>75718.872</v>
      </c>
      <c r="AA248" s="32"/>
      <c r="AB248" s="32">
        <f t="shared" si="67"/>
        <v>28761.431999999993</v>
      </c>
      <c r="AC248" s="34">
        <f t="shared" si="56"/>
        <v>13698.32</v>
      </c>
      <c r="AD248" s="8"/>
      <c r="AE248" s="8"/>
      <c r="AF248" s="34"/>
      <c r="AG248" s="32">
        <f t="shared" si="57"/>
        <v>69262.22399999999</v>
      </c>
      <c r="AH248" s="32">
        <v>57500</v>
      </c>
      <c r="AI248" s="32">
        <f t="shared" si="66"/>
        <v>707506.7039999999</v>
      </c>
    </row>
    <row r="249" spans="1:35" ht="15.75">
      <c r="A249" s="3" t="s">
        <v>141</v>
      </c>
      <c r="B249" s="4" t="s">
        <v>73</v>
      </c>
      <c r="C249" s="3" t="s">
        <v>2</v>
      </c>
      <c r="D249" s="26">
        <v>3564.9</v>
      </c>
      <c r="E249" s="19">
        <f t="shared" si="58"/>
        <v>15400.368</v>
      </c>
      <c r="F249" s="19">
        <f t="shared" si="59"/>
        <v>50906.772</v>
      </c>
      <c r="G249" s="19">
        <f t="shared" si="60"/>
        <v>50478.984000000004</v>
      </c>
      <c r="H249" s="19">
        <f t="shared" si="61"/>
        <v>11122.488000000001</v>
      </c>
      <c r="I249" s="19">
        <f t="shared" si="62"/>
        <v>2566.728</v>
      </c>
      <c r="J249" s="19">
        <f t="shared" si="63"/>
        <v>7700.184</v>
      </c>
      <c r="K249" s="19">
        <f>80*6*2</f>
        <v>960</v>
      </c>
      <c r="L249" s="8">
        <f>144.73*3</f>
        <v>434.18999999999994</v>
      </c>
      <c r="M249" s="8"/>
      <c r="N249" s="8"/>
      <c r="O249" s="24">
        <f t="shared" si="53"/>
        <v>9803.475</v>
      </c>
      <c r="P249" s="32">
        <f t="shared" si="64"/>
        <v>149373.189</v>
      </c>
      <c r="Q249" s="32">
        <f t="shared" si="69"/>
        <v>56075.877</v>
      </c>
      <c r="R249" s="34">
        <f t="shared" si="54"/>
        <v>131544.81</v>
      </c>
      <c r="S249" s="19">
        <f>350*120</f>
        <v>42000</v>
      </c>
      <c r="T249" s="19"/>
      <c r="U249" s="19"/>
      <c r="V249" s="19"/>
      <c r="W249" s="19"/>
      <c r="X249" s="19"/>
      <c r="Y249" s="32">
        <f t="shared" si="65"/>
        <v>42000</v>
      </c>
      <c r="Z249" s="32">
        <f t="shared" si="55"/>
        <v>55184.652</v>
      </c>
      <c r="AA249" s="32"/>
      <c r="AB249" s="32">
        <f t="shared" si="67"/>
        <v>20961.612</v>
      </c>
      <c r="AC249" s="34">
        <f t="shared" si="56"/>
        <v>9984.12</v>
      </c>
      <c r="AD249" s="8"/>
      <c r="AE249" s="8"/>
      <c r="AF249" s="34"/>
      <c r="AG249" s="32">
        <f t="shared" si="57"/>
        <v>50478.984000000004</v>
      </c>
      <c r="AH249" s="32"/>
      <c r="AI249" s="32">
        <f t="shared" si="66"/>
        <v>515603.24400000006</v>
      </c>
    </row>
    <row r="250" spans="1:35" ht="15.75">
      <c r="A250" s="3" t="s">
        <v>141</v>
      </c>
      <c r="B250" s="4" t="s">
        <v>67</v>
      </c>
      <c r="C250" s="3" t="s">
        <v>66</v>
      </c>
      <c r="D250" s="26">
        <v>5789.6</v>
      </c>
      <c r="E250" s="19">
        <f t="shared" si="58"/>
        <v>25011.072</v>
      </c>
      <c r="F250" s="19">
        <f t="shared" si="59"/>
        <v>82675.488</v>
      </c>
      <c r="G250" s="19">
        <f t="shared" si="60"/>
        <v>81980.736</v>
      </c>
      <c r="H250" s="19">
        <f t="shared" si="61"/>
        <v>18063.552</v>
      </c>
      <c r="I250" s="19">
        <f t="shared" si="62"/>
        <v>4168.512000000001</v>
      </c>
      <c r="J250" s="19">
        <f t="shared" si="63"/>
        <v>12505.536</v>
      </c>
      <c r="K250" s="19">
        <f>119*8+119*6*2</f>
        <v>2380</v>
      </c>
      <c r="L250" s="8">
        <f>144.73*3</f>
        <v>434.18999999999994</v>
      </c>
      <c r="M250" s="8"/>
      <c r="N250" s="8"/>
      <c r="O250" s="24">
        <f t="shared" si="53"/>
        <v>15921.400000000003</v>
      </c>
      <c r="P250" s="32">
        <f t="shared" si="64"/>
        <v>243140.48599999998</v>
      </c>
      <c r="Q250" s="32">
        <f t="shared" si="69"/>
        <v>91070.40800000001</v>
      </c>
      <c r="R250" s="34">
        <f t="shared" si="54"/>
        <v>213636.24000000005</v>
      </c>
      <c r="S250" s="19"/>
      <c r="T250" s="19">
        <f>90*135</f>
        <v>12150</v>
      </c>
      <c r="U250" s="19"/>
      <c r="V250" s="19"/>
      <c r="W250" s="19"/>
      <c r="X250" s="19"/>
      <c r="Y250" s="32">
        <f t="shared" si="65"/>
        <v>12150</v>
      </c>
      <c r="Z250" s="32">
        <f t="shared" si="55"/>
        <v>89623.008</v>
      </c>
      <c r="AA250" s="32"/>
      <c r="AB250" s="32">
        <f t="shared" si="67"/>
        <v>34042.848</v>
      </c>
      <c r="AC250" s="34">
        <f t="shared" si="56"/>
        <v>16213.28</v>
      </c>
      <c r="AD250" s="8"/>
      <c r="AE250" s="8"/>
      <c r="AF250" s="34"/>
      <c r="AG250" s="32">
        <f t="shared" si="57"/>
        <v>81980.736</v>
      </c>
      <c r="AH250" s="32"/>
      <c r="AI250" s="32">
        <f t="shared" si="66"/>
        <v>781857.0060000002</v>
      </c>
    </row>
    <row r="251" spans="1:35" ht="15.75">
      <c r="A251" s="3" t="s">
        <v>141</v>
      </c>
      <c r="B251" s="4" t="s">
        <v>67</v>
      </c>
      <c r="C251" s="3" t="s">
        <v>111</v>
      </c>
      <c r="D251" s="26">
        <v>4430.2</v>
      </c>
      <c r="E251" s="19">
        <f t="shared" si="58"/>
        <v>19138.464</v>
      </c>
      <c r="F251" s="19">
        <f t="shared" si="59"/>
        <v>63263.255999999994</v>
      </c>
      <c r="G251" s="19">
        <f t="shared" si="60"/>
        <v>62731.632</v>
      </c>
      <c r="H251" s="19">
        <f t="shared" si="61"/>
        <v>13822.224000000002</v>
      </c>
      <c r="I251" s="19">
        <f t="shared" si="62"/>
        <v>3189.7439999999997</v>
      </c>
      <c r="J251" s="19">
        <f t="shared" si="63"/>
        <v>9569.232</v>
      </c>
      <c r="K251" s="19">
        <f>90*8+90*6*2</f>
        <v>1800</v>
      </c>
      <c r="L251" s="8">
        <f>144.73*2</f>
        <v>289.46</v>
      </c>
      <c r="M251" s="8"/>
      <c r="N251" s="8"/>
      <c r="O251" s="24">
        <f t="shared" si="53"/>
        <v>12183.050000000001</v>
      </c>
      <c r="P251" s="32">
        <f t="shared" si="64"/>
        <v>185987.06199999998</v>
      </c>
      <c r="Q251" s="32">
        <f t="shared" si="69"/>
        <v>69687.046</v>
      </c>
      <c r="R251" s="34">
        <f t="shared" si="54"/>
        <v>163474.37999999998</v>
      </c>
      <c r="S251" s="19"/>
      <c r="T251" s="19"/>
      <c r="U251" s="19"/>
      <c r="V251" s="19"/>
      <c r="W251" s="19"/>
      <c r="X251" s="19"/>
      <c r="Y251" s="32">
        <f t="shared" si="65"/>
        <v>0</v>
      </c>
      <c r="Z251" s="32">
        <f t="shared" si="55"/>
        <v>68579.496</v>
      </c>
      <c r="AA251" s="32"/>
      <c r="AB251" s="32">
        <f t="shared" si="67"/>
        <v>26049.575999999997</v>
      </c>
      <c r="AC251" s="34">
        <f t="shared" si="56"/>
        <v>12406.96</v>
      </c>
      <c r="AD251" s="8"/>
      <c r="AE251" s="8"/>
      <c r="AF251" s="34"/>
      <c r="AG251" s="32">
        <f t="shared" si="57"/>
        <v>62731.632</v>
      </c>
      <c r="AH251" s="32">
        <v>57500</v>
      </c>
      <c r="AI251" s="32">
        <f t="shared" si="66"/>
        <v>646416.1519999999</v>
      </c>
    </row>
    <row r="252" spans="1:35" ht="15.75">
      <c r="A252" s="3" t="s">
        <v>141</v>
      </c>
      <c r="B252" s="4" t="s">
        <v>129</v>
      </c>
      <c r="C252" s="3" t="s">
        <v>2</v>
      </c>
      <c r="D252" s="26">
        <v>3540.2</v>
      </c>
      <c r="E252" s="19">
        <f t="shared" si="58"/>
        <v>15293.664</v>
      </c>
      <c r="F252" s="19">
        <f t="shared" si="59"/>
        <v>50554.056</v>
      </c>
      <c r="G252" s="19">
        <f t="shared" si="60"/>
        <v>50129.231999999996</v>
      </c>
      <c r="H252" s="19">
        <f t="shared" si="61"/>
        <v>11045.423999999999</v>
      </c>
      <c r="I252" s="19">
        <f t="shared" si="62"/>
        <v>2548.9439999999995</v>
      </c>
      <c r="J252" s="19">
        <f t="shared" si="63"/>
        <v>7646.832</v>
      </c>
      <c r="K252" s="19">
        <f>80*6*2</f>
        <v>960</v>
      </c>
      <c r="L252" s="8">
        <f>144.73*3</f>
        <v>434.18999999999994</v>
      </c>
      <c r="M252" s="8"/>
      <c r="N252" s="8"/>
      <c r="O252" s="24">
        <f t="shared" si="53"/>
        <v>9735.550000000001</v>
      </c>
      <c r="P252" s="32">
        <f t="shared" si="64"/>
        <v>148347.892</v>
      </c>
      <c r="Q252" s="32">
        <f t="shared" si="69"/>
        <v>55687.346000000005</v>
      </c>
      <c r="R252" s="34">
        <f t="shared" si="54"/>
        <v>130633.37999999998</v>
      </c>
      <c r="S252" s="19">
        <f>192*120</f>
        <v>23040</v>
      </c>
      <c r="T252" s="19"/>
      <c r="U252" s="19"/>
      <c r="V252" s="19"/>
      <c r="W252" s="19"/>
      <c r="X252" s="19"/>
      <c r="Y252" s="32">
        <f t="shared" si="65"/>
        <v>23040</v>
      </c>
      <c r="Z252" s="32">
        <f t="shared" si="55"/>
        <v>54802.296</v>
      </c>
      <c r="AA252" s="32"/>
      <c r="AB252" s="32">
        <f t="shared" si="67"/>
        <v>20816.375999999997</v>
      </c>
      <c r="AC252" s="34">
        <f t="shared" si="56"/>
        <v>9914.96</v>
      </c>
      <c r="AD252" s="8"/>
      <c r="AE252" s="8"/>
      <c r="AF252" s="34"/>
      <c r="AG252" s="32">
        <f t="shared" si="57"/>
        <v>50129.231999999996</v>
      </c>
      <c r="AH252" s="32">
        <v>57500</v>
      </c>
      <c r="AI252" s="32">
        <f t="shared" si="66"/>
        <v>550871.4820000001</v>
      </c>
    </row>
    <row r="253" spans="1:35" ht="15.75">
      <c r="A253" s="53" t="s">
        <v>45</v>
      </c>
      <c r="B253" s="18" t="s">
        <v>91</v>
      </c>
      <c r="D253" s="54">
        <v>501.6</v>
      </c>
      <c r="E253" s="19">
        <f t="shared" si="58"/>
        <v>2166.912</v>
      </c>
      <c r="F253" s="19">
        <f t="shared" si="59"/>
        <v>7162.848</v>
      </c>
      <c r="G253" s="19">
        <f t="shared" si="60"/>
        <v>7102.656000000001</v>
      </c>
      <c r="H253" s="19">
        <f t="shared" si="61"/>
        <v>1564.992</v>
      </c>
      <c r="I253" s="19">
        <f t="shared" si="62"/>
        <v>361.152</v>
      </c>
      <c r="J253" s="19">
        <f t="shared" si="63"/>
        <v>1083.456</v>
      </c>
      <c r="K253" s="19">
        <f>10*8*4+10*6*2</f>
        <v>440</v>
      </c>
      <c r="L253" s="8">
        <f>144.73*3</f>
        <v>434.18999999999994</v>
      </c>
      <c r="M253" s="8"/>
      <c r="N253" s="8">
        <f>166*20.77</f>
        <v>3447.8199999999997</v>
      </c>
      <c r="O253" s="24">
        <f t="shared" si="53"/>
        <v>1379.4000000000003</v>
      </c>
      <c r="P253" s="32">
        <f t="shared" si="64"/>
        <v>25143.425999999996</v>
      </c>
      <c r="Q253" s="32">
        <f t="shared" si="69"/>
        <v>7890.1680000000015</v>
      </c>
      <c r="R253" s="34">
        <f t="shared" si="54"/>
        <v>18509.04</v>
      </c>
      <c r="S253" s="19"/>
      <c r="T253" s="19"/>
      <c r="U253" s="19">
        <v>115000</v>
      </c>
      <c r="V253" s="19">
        <f>91*150</f>
        <v>13650</v>
      </c>
      <c r="W253" s="19"/>
      <c r="X253" s="19"/>
      <c r="Y253" s="32">
        <f t="shared" si="65"/>
        <v>128650</v>
      </c>
      <c r="Z253" s="32">
        <f t="shared" si="55"/>
        <v>7764.768000000001</v>
      </c>
      <c r="AA253" s="32"/>
      <c r="AB253" s="32">
        <f t="shared" si="67"/>
        <v>2949.4080000000004</v>
      </c>
      <c r="AC253" s="34">
        <f t="shared" si="56"/>
        <v>1406.88</v>
      </c>
      <c r="AD253" s="8"/>
      <c r="AE253" s="8"/>
      <c r="AF253" s="34"/>
      <c r="AG253" s="32">
        <f t="shared" si="57"/>
        <v>7102.656000000001</v>
      </c>
      <c r="AH253" s="32">
        <v>57500</v>
      </c>
      <c r="AI253" s="32">
        <f t="shared" si="66"/>
        <v>256916.346</v>
      </c>
    </row>
    <row r="254" spans="1:35" ht="15.75">
      <c r="A254" s="3" t="s">
        <v>45</v>
      </c>
      <c r="B254" s="4" t="s">
        <v>172</v>
      </c>
      <c r="C254" s="8"/>
      <c r="D254" s="10">
        <v>142.2</v>
      </c>
      <c r="E254" s="19">
        <f t="shared" si="58"/>
        <v>614.3039999999999</v>
      </c>
      <c r="F254" s="19">
        <f t="shared" si="59"/>
        <v>2030.616</v>
      </c>
      <c r="G254" s="19">
        <f t="shared" si="60"/>
        <v>2013.5519999999997</v>
      </c>
      <c r="H254" s="19">
        <f t="shared" si="61"/>
        <v>443.664</v>
      </c>
      <c r="I254" s="19">
        <f t="shared" si="62"/>
        <v>102.38399999999999</v>
      </c>
      <c r="J254" s="19">
        <f t="shared" si="63"/>
        <v>307.15199999999993</v>
      </c>
      <c r="K254" s="19">
        <f>2*8*4+2*6*2</f>
        <v>88</v>
      </c>
      <c r="L254" s="8">
        <f>144.73*6</f>
        <v>868.3799999999999</v>
      </c>
      <c r="M254" s="8"/>
      <c r="N254" s="8">
        <f>819*20.77</f>
        <v>17010.63</v>
      </c>
      <c r="O254" s="24">
        <f t="shared" si="53"/>
        <v>391.04999999999995</v>
      </c>
      <c r="P254" s="32">
        <f t="shared" si="64"/>
        <v>23869.732</v>
      </c>
      <c r="Q254" s="32"/>
      <c r="R254" s="34">
        <f t="shared" si="54"/>
        <v>5247.18</v>
      </c>
      <c r="S254" s="19">
        <f>30*700</f>
        <v>21000</v>
      </c>
      <c r="T254" s="19"/>
      <c r="U254" s="19"/>
      <c r="V254" s="19">
        <f>68*150</f>
        <v>10200</v>
      </c>
      <c r="W254" s="19">
        <f>4*220</f>
        <v>880</v>
      </c>
      <c r="X254" s="19"/>
      <c r="Y254" s="32">
        <f t="shared" si="65"/>
        <v>32080</v>
      </c>
      <c r="Z254" s="32">
        <f t="shared" si="55"/>
        <v>2201.256</v>
      </c>
      <c r="AA254" s="32"/>
      <c r="AB254" s="32">
        <f t="shared" si="67"/>
        <v>836.136</v>
      </c>
      <c r="AC254" s="34">
        <f t="shared" si="56"/>
        <v>400.55999999999995</v>
      </c>
      <c r="AD254" s="8"/>
      <c r="AE254" s="8"/>
      <c r="AF254" s="34"/>
      <c r="AG254" s="32">
        <f t="shared" si="57"/>
        <v>2013.5519999999997</v>
      </c>
      <c r="AH254" s="32">
        <v>57500</v>
      </c>
      <c r="AI254" s="32">
        <f t="shared" si="66"/>
        <v>124148.416</v>
      </c>
    </row>
    <row r="255" spans="1:35" ht="15.75">
      <c r="A255" s="3" t="s">
        <v>82</v>
      </c>
      <c r="B255" s="4" t="s">
        <v>173</v>
      </c>
      <c r="C255" s="8"/>
      <c r="D255" s="10">
        <v>370.8</v>
      </c>
      <c r="E255" s="19">
        <f t="shared" si="58"/>
        <v>1601.856</v>
      </c>
      <c r="F255" s="19">
        <f t="shared" si="59"/>
        <v>5295.024</v>
      </c>
      <c r="G255" s="19">
        <f t="shared" si="60"/>
        <v>5250.528</v>
      </c>
      <c r="H255" s="19">
        <f t="shared" si="61"/>
        <v>1156.896</v>
      </c>
      <c r="I255" s="19">
        <f t="shared" si="62"/>
        <v>266.976</v>
      </c>
      <c r="J255" s="19">
        <f t="shared" si="63"/>
        <v>800.928</v>
      </c>
      <c r="K255" s="19">
        <f>8*8*4+8*6*2</f>
        <v>352</v>
      </c>
      <c r="L255" s="8">
        <f>144.73*12</f>
        <v>1736.7599999999998</v>
      </c>
      <c r="M255" s="8"/>
      <c r="N255" s="8"/>
      <c r="O255" s="24">
        <f t="shared" si="53"/>
        <v>1019.7000000000002</v>
      </c>
      <c r="P255" s="32">
        <f t="shared" si="64"/>
        <v>17480.668</v>
      </c>
      <c r="Q255" s="32"/>
      <c r="R255" s="34">
        <f t="shared" si="54"/>
        <v>13682.52</v>
      </c>
      <c r="S255" s="19"/>
      <c r="T255" s="19"/>
      <c r="U255" s="19"/>
      <c r="V255" s="19"/>
      <c r="W255" s="19"/>
      <c r="X255" s="19"/>
      <c r="Y255" s="32">
        <f t="shared" si="65"/>
        <v>0</v>
      </c>
      <c r="Z255" s="32">
        <f t="shared" si="55"/>
        <v>5739.984</v>
      </c>
      <c r="AA255" s="32"/>
      <c r="AB255" s="32">
        <f t="shared" si="67"/>
        <v>2180.304</v>
      </c>
      <c r="AC255" s="34">
        <f t="shared" si="56"/>
        <v>1040.6400000000003</v>
      </c>
      <c r="AD255" s="8"/>
      <c r="AE255" s="8"/>
      <c r="AF255" s="34"/>
      <c r="AG255" s="32">
        <f t="shared" si="57"/>
        <v>5250.528</v>
      </c>
      <c r="AH255" s="32">
        <v>57500</v>
      </c>
      <c r="AI255" s="32">
        <f t="shared" si="66"/>
        <v>102874.644</v>
      </c>
    </row>
    <row r="256" spans="31:33" ht="15">
      <c r="AE256" s="20"/>
      <c r="AF256" s="37"/>
      <c r="AG256" s="37"/>
    </row>
    <row r="257" spans="31:33" ht="15">
      <c r="AE257" s="20"/>
      <c r="AF257" s="37"/>
      <c r="AG257" s="37"/>
    </row>
  </sheetData>
  <sheetProtection/>
  <mergeCells count="12">
    <mergeCell ref="AB1:AB2"/>
    <mergeCell ref="AC1:AC2"/>
    <mergeCell ref="AD1:AF1"/>
    <mergeCell ref="AG1:AG2"/>
    <mergeCell ref="AH1:AH2"/>
    <mergeCell ref="AI1:AI2"/>
    <mergeCell ref="E1:P1"/>
    <mergeCell ref="Q1:Q2"/>
    <mergeCell ref="R1:R2"/>
    <mergeCell ref="S1:Y1"/>
    <mergeCell ref="Z1:Z2"/>
    <mergeCell ref="AA1:A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L255"/>
  <sheetViews>
    <sheetView tabSelected="1" zoomScalePageLayoutView="0" workbookViewId="0" topLeftCell="A1">
      <pane xSplit="5805" topLeftCell="A1" activePane="topRight" state="split"/>
      <selection pane="topLeft" activeCell="B268" sqref="B268"/>
      <selection pane="topRight" activeCell="G23" sqref="G23"/>
    </sheetView>
  </sheetViews>
  <sheetFormatPr defaultColWidth="9.140625" defaultRowHeight="15"/>
  <cols>
    <col min="1" max="1" width="33.28125" style="61" customWidth="1"/>
    <col min="2" max="3" width="9.140625" style="61" customWidth="1"/>
    <col min="4" max="4" width="9.421875" style="61" bestFit="1" customWidth="1"/>
    <col min="5" max="5" width="10.140625" style="61" bestFit="1" customWidth="1"/>
    <col min="6" max="7" width="9.421875" style="61" bestFit="1" customWidth="1"/>
    <col min="8" max="8" width="10.140625" style="61" bestFit="1" customWidth="1"/>
    <col min="9" max="9" width="10.57421875" style="61" customWidth="1"/>
    <col min="10" max="10" width="13.140625" style="61" customWidth="1"/>
    <col min="11" max="11" width="12.57421875" style="61" customWidth="1"/>
    <col min="12" max="12" width="11.8515625" style="61" customWidth="1"/>
    <col min="13" max="13" width="12.28125" style="61" customWidth="1"/>
    <col min="14" max="14" width="13.28125" style="61" customWidth="1"/>
    <col min="15" max="15" width="14.57421875" style="61" customWidth="1"/>
    <col min="16" max="16" width="10.57421875" style="61" customWidth="1"/>
    <col min="17" max="17" width="11.57421875" style="61" customWidth="1"/>
    <col min="18" max="19" width="13.140625" style="61" customWidth="1"/>
    <col min="20" max="20" width="12.57421875" style="62" customWidth="1"/>
    <col min="21" max="21" width="12.28125" style="62" customWidth="1"/>
    <col min="22" max="22" width="11.8515625" style="62" bestFit="1" customWidth="1"/>
    <col min="23" max="23" width="13.140625" style="61" bestFit="1" customWidth="1"/>
    <col min="24" max="24" width="12.421875" style="61" bestFit="1" customWidth="1"/>
    <col min="25" max="25" width="14.28125" style="61" bestFit="1" customWidth="1"/>
    <col min="26" max="26" width="12.421875" style="61" bestFit="1" customWidth="1"/>
    <col min="27" max="28" width="14.28125" style="61" bestFit="1" customWidth="1"/>
    <col min="29" max="29" width="12.421875" style="61" bestFit="1" customWidth="1"/>
    <col min="30" max="30" width="9.421875" style="61" bestFit="1" customWidth="1"/>
    <col min="31" max="31" width="12.421875" style="61" bestFit="1" customWidth="1"/>
    <col min="32" max="35" width="11.28125" style="61" bestFit="1" customWidth="1"/>
    <col min="36" max="36" width="12.421875" style="61" bestFit="1" customWidth="1"/>
    <col min="37" max="37" width="11.00390625" style="61" customWidth="1"/>
    <col min="38" max="38" width="11.8515625" style="61" customWidth="1"/>
    <col min="39" max="16384" width="9.140625" style="61" customWidth="1"/>
  </cols>
  <sheetData>
    <row r="1" ht="15" customHeight="1"/>
    <row r="4" spans="1:38" ht="15" customHeight="1">
      <c r="A4" s="77"/>
      <c r="B4" s="77"/>
      <c r="C4" s="77"/>
      <c r="D4" s="79" t="s">
        <v>213</v>
      </c>
      <c r="E4" s="79"/>
      <c r="F4" s="79"/>
      <c r="G4" s="79"/>
      <c r="H4" s="79"/>
      <c r="I4" s="79"/>
      <c r="J4" s="80" t="s">
        <v>145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 t="s">
        <v>183</v>
      </c>
      <c r="V4" s="80" t="s">
        <v>185</v>
      </c>
      <c r="W4" s="79" t="s">
        <v>186</v>
      </c>
      <c r="X4" s="79"/>
      <c r="Y4" s="79"/>
      <c r="Z4" s="79"/>
      <c r="AA4" s="79"/>
      <c r="AB4" s="79"/>
      <c r="AC4" s="79"/>
      <c r="AD4" s="63"/>
      <c r="AE4" s="63"/>
      <c r="AF4" s="63"/>
      <c r="AG4" s="63"/>
      <c r="AH4" s="63"/>
      <c r="AI4" s="63"/>
      <c r="AJ4" s="63"/>
      <c r="AK4" s="63"/>
      <c r="AL4" s="63"/>
    </row>
    <row r="5" spans="1:38" ht="15.75" customHeight="1">
      <c r="A5" s="77"/>
      <c r="B5" s="77"/>
      <c r="C5" s="77"/>
      <c r="D5" s="79"/>
      <c r="E5" s="79"/>
      <c r="F5" s="79"/>
      <c r="G5" s="79"/>
      <c r="H5" s="79"/>
      <c r="I5" s="79"/>
      <c r="J5" s="80" t="s">
        <v>214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ht="110.25">
      <c r="A6" s="88" t="s">
        <v>142</v>
      </c>
      <c r="B6" s="88" t="s">
        <v>143</v>
      </c>
      <c r="C6" s="88" t="s">
        <v>144</v>
      </c>
      <c r="D6" s="81" t="s">
        <v>147</v>
      </c>
      <c r="E6" s="88" t="s">
        <v>208</v>
      </c>
      <c r="F6" s="88" t="s">
        <v>209</v>
      </c>
      <c r="G6" s="88" t="s">
        <v>210</v>
      </c>
      <c r="H6" s="88" t="s">
        <v>211</v>
      </c>
      <c r="I6" s="88" t="s">
        <v>212</v>
      </c>
      <c r="J6" s="81" t="s">
        <v>146</v>
      </c>
      <c r="K6" s="81" t="s">
        <v>174</v>
      </c>
      <c r="L6" s="81" t="s">
        <v>175</v>
      </c>
      <c r="M6" s="81" t="s">
        <v>176</v>
      </c>
      <c r="N6" s="81" t="s">
        <v>177</v>
      </c>
      <c r="O6" s="81" t="s">
        <v>178</v>
      </c>
      <c r="P6" s="81" t="s">
        <v>179</v>
      </c>
      <c r="Q6" s="81" t="s">
        <v>180</v>
      </c>
      <c r="R6" s="81" t="s">
        <v>190</v>
      </c>
      <c r="S6" s="81" t="s">
        <v>184</v>
      </c>
      <c r="T6" s="65" t="s">
        <v>182</v>
      </c>
      <c r="U6" s="80"/>
      <c r="V6" s="80"/>
      <c r="W6" s="64" t="s">
        <v>215</v>
      </c>
      <c r="X6" s="65" t="s">
        <v>216</v>
      </c>
      <c r="Y6" s="65" t="s">
        <v>217</v>
      </c>
      <c r="Z6" s="65" t="s">
        <v>192</v>
      </c>
      <c r="AA6" s="65" t="s">
        <v>218</v>
      </c>
      <c r="AB6" s="65" t="s">
        <v>219</v>
      </c>
      <c r="AC6" s="65" t="s">
        <v>220</v>
      </c>
      <c r="AD6" s="65" t="s">
        <v>221</v>
      </c>
      <c r="AE6" s="65" t="s">
        <v>222</v>
      </c>
      <c r="AF6" s="65" t="s">
        <v>223</v>
      </c>
      <c r="AG6" s="65" t="s">
        <v>224</v>
      </c>
      <c r="AH6" s="65" t="s">
        <v>225</v>
      </c>
      <c r="AI6" s="65" t="s">
        <v>226</v>
      </c>
      <c r="AJ6" s="65" t="s">
        <v>227</v>
      </c>
      <c r="AK6" s="65" t="s">
        <v>228</v>
      </c>
      <c r="AL6" s="65" t="s">
        <v>229</v>
      </c>
    </row>
    <row r="7" spans="1:38" ht="15.75">
      <c r="A7" s="63" t="s">
        <v>0</v>
      </c>
      <c r="B7" s="63" t="s">
        <v>1</v>
      </c>
      <c r="C7" s="63" t="s">
        <v>2</v>
      </c>
      <c r="D7" s="83">
        <v>3219.2</v>
      </c>
      <c r="E7" s="63">
        <v>187170.9</v>
      </c>
      <c r="F7" s="63">
        <v>0</v>
      </c>
      <c r="G7" s="63">
        <v>0</v>
      </c>
      <c r="H7" s="63">
        <v>187170.9</v>
      </c>
      <c r="I7" s="63">
        <v>189393.96</v>
      </c>
      <c r="J7" s="66">
        <f>D7*8*0.36+D7*0.39*4</f>
        <v>14293.248</v>
      </c>
      <c r="K7" s="66">
        <f>D7*1.19*12</f>
        <v>45970.17599999999</v>
      </c>
      <c r="L7" s="66">
        <f>D7*1.18*12</f>
        <v>45583.871999999996</v>
      </c>
      <c r="M7" s="66">
        <f>D7*0.26*12</f>
        <v>10043.903999999999</v>
      </c>
      <c r="N7" s="66">
        <f>D7*0.06*12</f>
        <v>2317.8239999999996</v>
      </c>
      <c r="O7" s="66">
        <f>D7*0.18*8+D7*0.19*4</f>
        <v>7082.24</v>
      </c>
      <c r="P7" s="66">
        <v>4108.8</v>
      </c>
      <c r="Q7" s="63">
        <v>13397.85</v>
      </c>
      <c r="R7" s="63"/>
      <c r="S7" s="66">
        <f>D7*0.55*8+D7*0.59</f>
        <v>16063.807999999999</v>
      </c>
      <c r="T7" s="67">
        <f>SUM(J7:S7)</f>
        <v>158861.72199999998</v>
      </c>
      <c r="U7" s="67">
        <f>D7*1.34*8+D7*1.45*4</f>
        <v>53181.183999999994</v>
      </c>
      <c r="V7" s="67">
        <f>D7*3*8+D7*3.56*4</f>
        <v>123102.20799999998</v>
      </c>
      <c r="W7" s="55">
        <v>8292</v>
      </c>
      <c r="X7" s="69">
        <v>36800</v>
      </c>
      <c r="Y7" s="56"/>
      <c r="Z7" s="56"/>
      <c r="AA7" s="56"/>
      <c r="AB7" s="69"/>
      <c r="AC7" s="69">
        <v>5362</v>
      </c>
      <c r="AD7" s="56"/>
      <c r="AE7" s="69"/>
      <c r="AF7" s="69">
        <v>4848</v>
      </c>
      <c r="AG7" s="69">
        <v>7192</v>
      </c>
      <c r="AH7" s="69">
        <v>2098</v>
      </c>
      <c r="AI7" s="69"/>
      <c r="AJ7" s="69"/>
      <c r="AK7" s="56"/>
      <c r="AL7" s="67">
        <f>SUM(W7:AK7)</f>
        <v>64592</v>
      </c>
    </row>
    <row r="8" spans="1:38" ht="15.75">
      <c r="A8" s="63" t="s">
        <v>0</v>
      </c>
      <c r="B8" s="63" t="s">
        <v>3</v>
      </c>
      <c r="C8" s="63" t="s">
        <v>2</v>
      </c>
      <c r="D8" s="83">
        <v>973</v>
      </c>
      <c r="E8" s="63">
        <v>60149.84</v>
      </c>
      <c r="F8" s="63">
        <v>0</v>
      </c>
      <c r="G8" s="63">
        <v>0</v>
      </c>
      <c r="H8" s="63">
        <v>60149.84</v>
      </c>
      <c r="I8" s="63">
        <v>57838.54</v>
      </c>
      <c r="J8" s="66">
        <f aca="true" t="shared" si="0" ref="J8:J70">D8*8*0.36+D8*0.39*4</f>
        <v>4320.12</v>
      </c>
      <c r="K8" s="66">
        <f aca="true" t="shared" si="1" ref="K8:K70">D8*1.19*12</f>
        <v>13894.439999999999</v>
      </c>
      <c r="L8" s="66">
        <f aca="true" t="shared" si="2" ref="L8:L70">D8*1.18*12</f>
        <v>13777.679999999998</v>
      </c>
      <c r="M8" s="66">
        <f aca="true" t="shared" si="3" ref="M8:M70">D8*0.26*12</f>
        <v>3035.76</v>
      </c>
      <c r="N8" s="66">
        <f aca="true" t="shared" si="4" ref="N8:N70">D8*0.06*12</f>
        <v>700.56</v>
      </c>
      <c r="O8" s="66">
        <f aca="true" t="shared" si="5" ref="O8:O70">D8*0.18*8+D8*0.19*4</f>
        <v>2140.6</v>
      </c>
      <c r="P8" s="66">
        <v>821.76</v>
      </c>
      <c r="Q8" s="63">
        <v>2679.68</v>
      </c>
      <c r="R8" s="63">
        <v>4450</v>
      </c>
      <c r="S8" s="66">
        <f>D8*0.55*8+D8*0.59</f>
        <v>4855.27</v>
      </c>
      <c r="T8" s="67">
        <f>SUM(J8:S8)</f>
        <v>50675.869999999995</v>
      </c>
      <c r="U8" s="67">
        <f>D8*1.34*8+D8*1.45*4</f>
        <v>16073.960000000001</v>
      </c>
      <c r="V8" s="67">
        <f>D8*3*8+D8*3.56*4</f>
        <v>37207.520000000004</v>
      </c>
      <c r="W8" s="57"/>
      <c r="X8" s="56"/>
      <c r="Y8" s="56"/>
      <c r="Z8" s="56"/>
      <c r="AA8" s="56"/>
      <c r="AB8" s="69"/>
      <c r="AC8" s="69"/>
      <c r="AD8" s="56"/>
      <c r="AE8" s="69"/>
      <c r="AF8" s="69"/>
      <c r="AG8" s="69">
        <v>5994</v>
      </c>
      <c r="AH8" s="69"/>
      <c r="AI8" s="69">
        <v>5579</v>
      </c>
      <c r="AJ8" s="69"/>
      <c r="AK8" s="56"/>
      <c r="AL8" s="67">
        <f aca="true" t="shared" si="6" ref="AL8:AL71">SUM(W8:AK8)</f>
        <v>11573</v>
      </c>
    </row>
    <row r="9" spans="1:38" ht="15.75">
      <c r="A9" s="63" t="s">
        <v>4</v>
      </c>
      <c r="B9" s="63" t="s">
        <v>5</v>
      </c>
      <c r="C9" s="63" t="s">
        <v>2</v>
      </c>
      <c r="D9" s="83">
        <v>1010.1</v>
      </c>
      <c r="E9" s="63">
        <v>64459.76</v>
      </c>
      <c r="F9" s="63">
        <v>0</v>
      </c>
      <c r="G9" s="63">
        <v>0</v>
      </c>
      <c r="H9" s="63">
        <v>64459.76</v>
      </c>
      <c r="I9" s="63">
        <v>60165.62</v>
      </c>
      <c r="J9" s="66">
        <f t="shared" si="0"/>
        <v>4484.844</v>
      </c>
      <c r="K9" s="66">
        <f t="shared" si="1"/>
        <v>14424.228</v>
      </c>
      <c r="L9" s="66">
        <f t="shared" si="2"/>
        <v>14303.016</v>
      </c>
      <c r="M9" s="66">
        <f t="shared" si="3"/>
        <v>3151.5120000000006</v>
      </c>
      <c r="N9" s="66">
        <f t="shared" si="4"/>
        <v>727.272</v>
      </c>
      <c r="O9" s="66">
        <f t="shared" si="5"/>
        <v>2222.22</v>
      </c>
      <c r="P9" s="66">
        <v>590.72</v>
      </c>
      <c r="Q9" s="63"/>
      <c r="R9" s="63"/>
      <c r="S9" s="66">
        <f>D9*0.55*8+D9*0.59</f>
        <v>5040.399</v>
      </c>
      <c r="T9" s="67">
        <f>SUM(J9:S9)</f>
        <v>44944.211</v>
      </c>
      <c r="U9" s="67"/>
      <c r="V9" s="67">
        <f>D9*3*8+D9*3.56*4</f>
        <v>38626.224</v>
      </c>
      <c r="W9" s="55">
        <v>5722</v>
      </c>
      <c r="X9" s="56"/>
      <c r="Y9" s="56"/>
      <c r="Z9" s="56"/>
      <c r="AA9" s="69">
        <v>122209</v>
      </c>
      <c r="AB9" s="69"/>
      <c r="AC9" s="69"/>
      <c r="AD9" s="56"/>
      <c r="AE9" s="69">
        <v>232</v>
      </c>
      <c r="AF9" s="69"/>
      <c r="AG9" s="69"/>
      <c r="AH9" s="69"/>
      <c r="AI9" s="69"/>
      <c r="AJ9" s="69"/>
      <c r="AK9" s="56"/>
      <c r="AL9" s="67">
        <f t="shared" si="6"/>
        <v>128163</v>
      </c>
    </row>
    <row r="10" spans="1:38" ht="15.75">
      <c r="A10" s="63" t="s">
        <v>4</v>
      </c>
      <c r="B10" s="63" t="s">
        <v>6</v>
      </c>
      <c r="C10" s="63" t="s">
        <v>2</v>
      </c>
      <c r="D10" s="83">
        <v>1026.5</v>
      </c>
      <c r="E10" s="63">
        <v>20280.11</v>
      </c>
      <c r="F10" s="63">
        <v>0</v>
      </c>
      <c r="G10" s="63">
        <v>837.6</v>
      </c>
      <c r="H10" s="63">
        <v>19442.51</v>
      </c>
      <c r="I10" s="63">
        <v>11510.39</v>
      </c>
      <c r="J10" s="66">
        <f t="shared" si="0"/>
        <v>4557.66</v>
      </c>
      <c r="K10" s="66">
        <f t="shared" si="1"/>
        <v>14658.419999999998</v>
      </c>
      <c r="L10" s="66">
        <f t="shared" si="2"/>
        <v>14535.24</v>
      </c>
      <c r="M10" s="66">
        <f t="shared" si="3"/>
        <v>3202.68</v>
      </c>
      <c r="N10" s="66">
        <f t="shared" si="4"/>
        <v>739.0799999999999</v>
      </c>
      <c r="O10" s="66">
        <f t="shared" si="5"/>
        <v>2258.2999999999997</v>
      </c>
      <c r="P10" s="66"/>
      <c r="Q10" s="63"/>
      <c r="R10" s="63"/>
      <c r="S10" s="66">
        <f>D10*0.55*8+D10*0.59</f>
        <v>5122.235000000001</v>
      </c>
      <c r="T10" s="67">
        <f>SUM(J10:S10)</f>
        <v>45073.615000000005</v>
      </c>
      <c r="U10" s="67"/>
      <c r="V10" s="67">
        <f>D10*3*8+D10*3.56*4</f>
        <v>39253.36</v>
      </c>
      <c r="W10" s="55"/>
      <c r="X10" s="56"/>
      <c r="Y10" s="56"/>
      <c r="Z10" s="56"/>
      <c r="AA10" s="69"/>
      <c r="AB10" s="69"/>
      <c r="AC10" s="69"/>
      <c r="AD10" s="56"/>
      <c r="AE10" s="69"/>
      <c r="AF10" s="69"/>
      <c r="AG10" s="69"/>
      <c r="AH10" s="69"/>
      <c r="AI10" s="69"/>
      <c r="AJ10" s="69"/>
      <c r="AK10" s="56"/>
      <c r="AL10" s="67">
        <f t="shared" si="6"/>
        <v>0</v>
      </c>
    </row>
    <row r="11" spans="1:38" ht="15.75">
      <c r="A11" s="63" t="s">
        <v>4</v>
      </c>
      <c r="B11" s="63" t="s">
        <v>7</v>
      </c>
      <c r="C11" s="63" t="s">
        <v>2</v>
      </c>
      <c r="D11" s="83">
        <v>2668</v>
      </c>
      <c r="E11" s="63">
        <v>164399.68</v>
      </c>
      <c r="F11" s="63">
        <v>-4943.69</v>
      </c>
      <c r="G11" s="63">
        <v>0</v>
      </c>
      <c r="H11" s="63">
        <v>159455.99</v>
      </c>
      <c r="I11" s="63">
        <v>165140.92</v>
      </c>
      <c r="J11" s="66">
        <f t="shared" si="0"/>
        <v>11845.92</v>
      </c>
      <c r="K11" s="66">
        <f t="shared" si="1"/>
        <v>38099.04</v>
      </c>
      <c r="L11" s="66">
        <f t="shared" si="2"/>
        <v>37778.88</v>
      </c>
      <c r="M11" s="66">
        <f t="shared" si="3"/>
        <v>8324.16</v>
      </c>
      <c r="N11" s="66">
        <f t="shared" si="4"/>
        <v>1920.9599999999998</v>
      </c>
      <c r="O11" s="66">
        <f t="shared" si="5"/>
        <v>5869.6</v>
      </c>
      <c r="P11" s="66">
        <v>1264.7</v>
      </c>
      <c r="Q11" s="63"/>
      <c r="R11" s="63">
        <v>27150</v>
      </c>
      <c r="S11" s="66">
        <f>D11*0.55*8+D11*0.59</f>
        <v>13313.32</v>
      </c>
      <c r="T11" s="67">
        <f>SUM(J11:S11)</f>
        <v>145566.58000000002</v>
      </c>
      <c r="U11" s="67">
        <f>D11*1.34*8+D11*1.45*4</f>
        <v>44075.36</v>
      </c>
      <c r="V11" s="67">
        <f>D11*3*8+D11*3.56*4</f>
        <v>102024.32</v>
      </c>
      <c r="W11" s="55">
        <v>6429</v>
      </c>
      <c r="X11" s="56"/>
      <c r="Y11" s="56"/>
      <c r="Z11" s="69">
        <v>174</v>
      </c>
      <c r="AA11" s="69"/>
      <c r="AB11" s="69">
        <v>9858</v>
      </c>
      <c r="AC11" s="69"/>
      <c r="AD11" s="56"/>
      <c r="AE11" s="69"/>
      <c r="AF11" s="69">
        <v>7978</v>
      </c>
      <c r="AG11" s="69">
        <v>5898</v>
      </c>
      <c r="AH11" s="69">
        <v>3506</v>
      </c>
      <c r="AI11" s="69">
        <v>15597</v>
      </c>
      <c r="AJ11" s="69"/>
      <c r="AK11" s="56"/>
      <c r="AL11" s="67">
        <f t="shared" si="6"/>
        <v>49440</v>
      </c>
    </row>
    <row r="12" spans="1:38" ht="15.75">
      <c r="A12" s="63" t="s">
        <v>4</v>
      </c>
      <c r="B12" s="63" t="s">
        <v>8</v>
      </c>
      <c r="C12" s="63" t="s">
        <v>2</v>
      </c>
      <c r="D12" s="83">
        <v>2702.2</v>
      </c>
      <c r="E12" s="63">
        <v>146897.96</v>
      </c>
      <c r="F12" s="63">
        <v>0</v>
      </c>
      <c r="G12" s="63">
        <v>0</v>
      </c>
      <c r="H12" s="63">
        <v>146897.96</v>
      </c>
      <c r="I12" s="63">
        <v>139860.74</v>
      </c>
      <c r="J12" s="66">
        <f t="shared" si="0"/>
        <v>11997.768</v>
      </c>
      <c r="K12" s="66">
        <f t="shared" si="1"/>
        <v>38587.416</v>
      </c>
      <c r="L12" s="66">
        <f t="shared" si="2"/>
        <v>38263.151999999995</v>
      </c>
      <c r="M12" s="66">
        <f t="shared" si="3"/>
        <v>8430.864</v>
      </c>
      <c r="N12" s="66">
        <f t="shared" si="4"/>
        <v>1945.5839999999998</v>
      </c>
      <c r="O12" s="66">
        <f t="shared" si="5"/>
        <v>5944.84</v>
      </c>
      <c r="P12" s="66">
        <v>1746.24</v>
      </c>
      <c r="Q12" s="63">
        <v>5694.32</v>
      </c>
      <c r="R12" s="63">
        <v>24650</v>
      </c>
      <c r="S12" s="66">
        <f>D12*0.55*8+D12*0.59</f>
        <v>13483.978</v>
      </c>
      <c r="T12" s="67">
        <f>SUM(J12:S12)</f>
        <v>150744.16199999998</v>
      </c>
      <c r="U12" s="67">
        <f>D12*1.34*8+D12*1.45*4</f>
        <v>44640.344</v>
      </c>
      <c r="V12" s="67">
        <f>D12*3*8+D12*3.56*4</f>
        <v>103332.128</v>
      </c>
      <c r="W12" s="55">
        <v>906</v>
      </c>
      <c r="X12" s="56"/>
      <c r="Y12" s="56"/>
      <c r="Z12" s="69">
        <v>2311</v>
      </c>
      <c r="AA12" s="69"/>
      <c r="AB12" s="69"/>
      <c r="AC12" s="69"/>
      <c r="AD12" s="56"/>
      <c r="AE12" s="69">
        <v>11230</v>
      </c>
      <c r="AF12" s="69">
        <v>7486</v>
      </c>
      <c r="AG12" s="69"/>
      <c r="AH12" s="69">
        <v>5195</v>
      </c>
      <c r="AI12" s="69"/>
      <c r="AJ12" s="69">
        <v>2297</v>
      </c>
      <c r="AK12" s="56"/>
      <c r="AL12" s="67">
        <f t="shared" si="6"/>
        <v>29425</v>
      </c>
    </row>
    <row r="13" spans="1:38" ht="15.75">
      <c r="A13" s="63" t="s">
        <v>4</v>
      </c>
      <c r="B13" s="63" t="s">
        <v>9</v>
      </c>
      <c r="C13" s="63" t="s">
        <v>2</v>
      </c>
      <c r="D13" s="83">
        <v>2739.1</v>
      </c>
      <c r="E13" s="63">
        <v>157092.26</v>
      </c>
      <c r="F13" s="63">
        <v>0</v>
      </c>
      <c r="G13" s="63">
        <v>1016</v>
      </c>
      <c r="H13" s="63">
        <v>156076.26</v>
      </c>
      <c r="I13" s="63">
        <v>156493.2</v>
      </c>
      <c r="J13" s="66">
        <f t="shared" si="0"/>
        <v>12161.604</v>
      </c>
      <c r="K13" s="66">
        <f t="shared" si="1"/>
        <v>39114.348</v>
      </c>
      <c r="L13" s="66">
        <f t="shared" si="2"/>
        <v>38785.656</v>
      </c>
      <c r="M13" s="66">
        <f t="shared" si="3"/>
        <v>8545.992</v>
      </c>
      <c r="N13" s="66">
        <f t="shared" si="4"/>
        <v>1972.1519999999996</v>
      </c>
      <c r="O13" s="66">
        <f t="shared" si="5"/>
        <v>6026.0199999999995</v>
      </c>
      <c r="P13" s="66">
        <v>2067.52</v>
      </c>
      <c r="Q13" s="63"/>
      <c r="R13" s="63"/>
      <c r="S13" s="66">
        <f>D13*0.55*8+D13*0.59</f>
        <v>13668.109</v>
      </c>
      <c r="T13" s="67">
        <f>SUM(J13:S13)</f>
        <v>122341.40100000001</v>
      </c>
      <c r="U13" s="67">
        <f>D13*1.34*8+D13*1.45*4</f>
        <v>45249.932</v>
      </c>
      <c r="V13" s="67">
        <f>D13*3*8+D13*3.56*4</f>
        <v>104743.184</v>
      </c>
      <c r="W13" s="55">
        <v>4821</v>
      </c>
      <c r="X13" s="56"/>
      <c r="Y13" s="56"/>
      <c r="Z13" s="69"/>
      <c r="AA13" s="69">
        <v>251736</v>
      </c>
      <c r="AB13" s="69"/>
      <c r="AC13" s="69"/>
      <c r="AD13" s="56"/>
      <c r="AE13" s="69"/>
      <c r="AF13" s="69">
        <v>3232</v>
      </c>
      <c r="AG13" s="69"/>
      <c r="AH13" s="69"/>
      <c r="AI13" s="69">
        <v>18084</v>
      </c>
      <c r="AJ13" s="69">
        <v>9093</v>
      </c>
      <c r="AK13" s="56"/>
      <c r="AL13" s="67">
        <f t="shared" si="6"/>
        <v>286966</v>
      </c>
    </row>
    <row r="14" spans="1:38" ht="15.75">
      <c r="A14" s="63" t="s">
        <v>4</v>
      </c>
      <c r="B14" s="63" t="s">
        <v>10</v>
      </c>
      <c r="C14" s="63" t="s">
        <v>2</v>
      </c>
      <c r="D14" s="83">
        <v>1544.3</v>
      </c>
      <c r="E14" s="63">
        <v>83717.87</v>
      </c>
      <c r="F14" s="63">
        <v>0</v>
      </c>
      <c r="G14" s="63">
        <v>0</v>
      </c>
      <c r="H14" s="63">
        <v>83717.87</v>
      </c>
      <c r="I14" s="63">
        <v>80435.56</v>
      </c>
      <c r="J14" s="66">
        <f t="shared" si="0"/>
        <v>6856.692</v>
      </c>
      <c r="K14" s="66">
        <f t="shared" si="1"/>
        <v>22052.604</v>
      </c>
      <c r="L14" s="66">
        <f t="shared" si="2"/>
        <v>21867.288</v>
      </c>
      <c r="M14" s="66">
        <f t="shared" si="3"/>
        <v>4818.216</v>
      </c>
      <c r="N14" s="66">
        <f t="shared" si="4"/>
        <v>1111.8959999999997</v>
      </c>
      <c r="O14" s="66">
        <f t="shared" si="5"/>
        <v>3397.46</v>
      </c>
      <c r="P14" s="66">
        <v>1848</v>
      </c>
      <c r="Q14" s="63"/>
      <c r="R14" s="63"/>
      <c r="S14" s="66">
        <f>D14*0.55*8+D14*0.59</f>
        <v>7706.057</v>
      </c>
      <c r="T14" s="67">
        <f>SUM(J14:S14)</f>
        <v>69658.213</v>
      </c>
      <c r="U14" s="67"/>
      <c r="V14" s="67">
        <f>D14*3*8+D14*3.56*4</f>
        <v>59054.03199999999</v>
      </c>
      <c r="W14" s="55"/>
      <c r="X14" s="56"/>
      <c r="Y14" s="56"/>
      <c r="Z14" s="69"/>
      <c r="AA14" s="69"/>
      <c r="AB14" s="69"/>
      <c r="AC14" s="69">
        <v>815</v>
      </c>
      <c r="AD14" s="56"/>
      <c r="AE14" s="69"/>
      <c r="AF14" s="69"/>
      <c r="AG14" s="69"/>
      <c r="AH14" s="69">
        <v>1016</v>
      </c>
      <c r="AI14" s="69"/>
      <c r="AJ14" s="69"/>
      <c r="AK14" s="56"/>
      <c r="AL14" s="67">
        <f t="shared" si="6"/>
        <v>1831</v>
      </c>
    </row>
    <row r="15" spans="1:38" ht="15.75">
      <c r="A15" s="63" t="s">
        <v>4</v>
      </c>
      <c r="B15" s="63" t="s">
        <v>11</v>
      </c>
      <c r="C15" s="63" t="s">
        <v>2</v>
      </c>
      <c r="D15" s="83">
        <v>1028.7</v>
      </c>
      <c r="E15" s="63">
        <v>16349.29</v>
      </c>
      <c r="F15" s="63">
        <v>0</v>
      </c>
      <c r="G15" s="63">
        <v>0</v>
      </c>
      <c r="H15" s="63">
        <v>16349.29</v>
      </c>
      <c r="I15" s="63">
        <v>4466.69</v>
      </c>
      <c r="J15" s="66">
        <f t="shared" si="0"/>
        <v>4567.428</v>
      </c>
      <c r="K15" s="66">
        <f t="shared" si="1"/>
        <v>14689.836</v>
      </c>
      <c r="L15" s="66">
        <f t="shared" si="2"/>
        <v>14566.392</v>
      </c>
      <c r="M15" s="66">
        <f t="shared" si="3"/>
        <v>3209.544000000001</v>
      </c>
      <c r="N15" s="66">
        <f t="shared" si="4"/>
        <v>740.664</v>
      </c>
      <c r="O15" s="66">
        <f t="shared" si="5"/>
        <v>2263.14</v>
      </c>
      <c r="P15" s="66"/>
      <c r="Q15" s="63"/>
      <c r="R15" s="63"/>
      <c r="S15" s="66">
        <f>D15*0.55*8+D15*0.59</f>
        <v>5133.213000000001</v>
      </c>
      <c r="T15" s="67">
        <f>SUM(J15:S15)</f>
        <v>45170.217000000004</v>
      </c>
      <c r="U15" s="67"/>
      <c r="V15" s="67">
        <f>D15*3*8+D15*3.56*4</f>
        <v>39337.488000000005</v>
      </c>
      <c r="W15" s="55"/>
      <c r="X15" s="56"/>
      <c r="Y15" s="56"/>
      <c r="Z15" s="69"/>
      <c r="AA15" s="69"/>
      <c r="AB15" s="69"/>
      <c r="AC15" s="69"/>
      <c r="AD15" s="56"/>
      <c r="AE15" s="69"/>
      <c r="AF15" s="69"/>
      <c r="AG15" s="69"/>
      <c r="AH15" s="69"/>
      <c r="AI15" s="69"/>
      <c r="AJ15" s="69"/>
      <c r="AK15" s="56"/>
      <c r="AL15" s="67">
        <f t="shared" si="6"/>
        <v>0</v>
      </c>
    </row>
    <row r="16" spans="1:38" ht="15.75">
      <c r="A16" s="63" t="s">
        <v>4</v>
      </c>
      <c r="B16" s="63" t="s">
        <v>12</v>
      </c>
      <c r="C16" s="63" t="s">
        <v>2</v>
      </c>
      <c r="D16" s="83">
        <v>1479.3</v>
      </c>
      <c r="E16" s="63">
        <v>84697</v>
      </c>
      <c r="F16" s="63">
        <v>0</v>
      </c>
      <c r="G16" s="63">
        <v>0</v>
      </c>
      <c r="H16" s="63">
        <v>84697</v>
      </c>
      <c r="I16" s="63">
        <v>83778.64</v>
      </c>
      <c r="J16" s="66">
        <f t="shared" si="0"/>
        <v>6568.092000000001</v>
      </c>
      <c r="K16" s="66">
        <f t="shared" si="1"/>
        <v>21124.404</v>
      </c>
      <c r="L16" s="66">
        <f t="shared" si="2"/>
        <v>20946.888</v>
      </c>
      <c r="M16" s="66">
        <f t="shared" si="3"/>
        <v>4615.416</v>
      </c>
      <c r="N16" s="66">
        <f t="shared" si="4"/>
        <v>1065.096</v>
      </c>
      <c r="O16" s="66">
        <f t="shared" si="5"/>
        <v>3254.46</v>
      </c>
      <c r="P16" s="66">
        <v>1848.96</v>
      </c>
      <c r="Q16" s="63"/>
      <c r="R16" s="63"/>
      <c r="S16" s="66">
        <f>D16*0.55*8+D16*0.59</f>
        <v>7381.707</v>
      </c>
      <c r="T16" s="67">
        <f>SUM(J16:S16)</f>
        <v>66805.02299999999</v>
      </c>
      <c r="U16" s="67">
        <f>D16*1.34*8+D16*1.45*4</f>
        <v>24438.036</v>
      </c>
      <c r="V16" s="67">
        <f>D16*3*8+D16*3.56*4</f>
        <v>56568.432</v>
      </c>
      <c r="W16" s="55"/>
      <c r="X16" s="56"/>
      <c r="Y16" s="56"/>
      <c r="Z16" s="69"/>
      <c r="AA16" s="69"/>
      <c r="AB16" s="69"/>
      <c r="AC16" s="69"/>
      <c r="AD16" s="56"/>
      <c r="AE16" s="69"/>
      <c r="AF16" s="69"/>
      <c r="AG16" s="69"/>
      <c r="AH16" s="69">
        <v>2747</v>
      </c>
      <c r="AI16" s="69"/>
      <c r="AJ16" s="69"/>
      <c r="AK16" s="56"/>
      <c r="AL16" s="67">
        <f t="shared" si="6"/>
        <v>2747</v>
      </c>
    </row>
    <row r="17" spans="1:38" ht="15.75">
      <c r="A17" s="63" t="s">
        <v>4</v>
      </c>
      <c r="B17" s="63" t="s">
        <v>13</v>
      </c>
      <c r="C17" s="63" t="s">
        <v>2</v>
      </c>
      <c r="D17" s="83">
        <v>3536.9</v>
      </c>
      <c r="E17" s="63">
        <v>199589.36</v>
      </c>
      <c r="F17" s="63">
        <v>0</v>
      </c>
      <c r="G17" s="63">
        <v>0</v>
      </c>
      <c r="H17" s="63">
        <v>199589.36</v>
      </c>
      <c r="I17" s="63">
        <v>197935.5</v>
      </c>
      <c r="J17" s="66">
        <f t="shared" si="0"/>
        <v>15703.836</v>
      </c>
      <c r="K17" s="66">
        <f t="shared" si="1"/>
        <v>50506.932</v>
      </c>
      <c r="L17" s="66">
        <f t="shared" si="2"/>
        <v>50082.50399999999</v>
      </c>
      <c r="M17" s="66">
        <f t="shared" si="3"/>
        <v>11035.128</v>
      </c>
      <c r="N17" s="66">
        <f t="shared" si="4"/>
        <v>2546.568</v>
      </c>
      <c r="O17" s="66">
        <f t="shared" si="5"/>
        <v>7781.18</v>
      </c>
      <c r="P17" s="66">
        <v>1155.2</v>
      </c>
      <c r="Q17" s="63">
        <v>13397.85</v>
      </c>
      <c r="R17" s="63"/>
      <c r="S17" s="66">
        <f>D17*0.55*8+D17*0.59</f>
        <v>17649.131</v>
      </c>
      <c r="T17" s="67">
        <f>SUM(J17:S17)</f>
        <v>169858.329</v>
      </c>
      <c r="U17" s="67">
        <f>D17*1.34*8+D17*1.45*4</f>
        <v>58429.588</v>
      </c>
      <c r="V17" s="67">
        <f>D17*3*8+D17*3.56*4</f>
        <v>135251.056</v>
      </c>
      <c r="W17" s="55"/>
      <c r="X17" s="56"/>
      <c r="Y17" s="56"/>
      <c r="Z17" s="69">
        <v>935</v>
      </c>
      <c r="AA17" s="69"/>
      <c r="AB17" s="69">
        <v>9849</v>
      </c>
      <c r="AC17" s="69"/>
      <c r="AD17" s="56"/>
      <c r="AE17" s="69"/>
      <c r="AF17" s="69">
        <v>13044</v>
      </c>
      <c r="AG17" s="69">
        <v>11816</v>
      </c>
      <c r="AH17" s="69">
        <v>10587</v>
      </c>
      <c r="AI17" s="69"/>
      <c r="AJ17" s="69">
        <v>18141</v>
      </c>
      <c r="AK17" s="56"/>
      <c r="AL17" s="67">
        <f t="shared" si="6"/>
        <v>64372</v>
      </c>
    </row>
    <row r="18" spans="1:38" ht="15.75">
      <c r="A18" s="63" t="s">
        <v>4</v>
      </c>
      <c r="B18" s="63" t="s">
        <v>14</v>
      </c>
      <c r="C18" s="63" t="s">
        <v>2</v>
      </c>
      <c r="D18" s="83">
        <v>3551.6</v>
      </c>
      <c r="E18" s="63">
        <v>206437.84</v>
      </c>
      <c r="F18" s="63">
        <v>0</v>
      </c>
      <c r="G18" s="63">
        <v>1184.4</v>
      </c>
      <c r="H18" s="63">
        <v>205253.44</v>
      </c>
      <c r="I18" s="63">
        <v>203658.89</v>
      </c>
      <c r="J18" s="66">
        <f t="shared" si="0"/>
        <v>15769.104</v>
      </c>
      <c r="K18" s="66">
        <f t="shared" si="1"/>
        <v>50716.848</v>
      </c>
      <c r="L18" s="66">
        <f t="shared" si="2"/>
        <v>50290.656</v>
      </c>
      <c r="M18" s="66">
        <f t="shared" si="3"/>
        <v>11080.992</v>
      </c>
      <c r="N18" s="66">
        <f t="shared" si="4"/>
        <v>2557.1519999999996</v>
      </c>
      <c r="O18" s="66">
        <f t="shared" si="5"/>
        <v>7813.52</v>
      </c>
      <c r="P18" s="66">
        <v>1155.2</v>
      </c>
      <c r="Q18" s="63">
        <v>13397.85</v>
      </c>
      <c r="R18" s="63"/>
      <c r="S18" s="66">
        <f>D18*0.55*8+D18*0.59</f>
        <v>17722.484</v>
      </c>
      <c r="T18" s="67">
        <f>SUM(J18:S18)</f>
        <v>170503.806</v>
      </c>
      <c r="U18" s="67">
        <f>D18*1.34*8+D18*1.45*4</f>
        <v>58672.432</v>
      </c>
      <c r="V18" s="67">
        <f>D18*3*8+D18*3.56*4</f>
        <v>135813.184</v>
      </c>
      <c r="W18" s="55">
        <v>10409</v>
      </c>
      <c r="X18" s="56"/>
      <c r="Y18" s="56"/>
      <c r="Z18" s="69">
        <v>1741</v>
      </c>
      <c r="AA18" s="69">
        <v>238866</v>
      </c>
      <c r="AB18" s="69">
        <v>423</v>
      </c>
      <c r="AC18" s="69"/>
      <c r="AD18" s="56"/>
      <c r="AE18" s="69"/>
      <c r="AF18" s="69"/>
      <c r="AG18" s="69"/>
      <c r="AH18" s="69">
        <v>4693</v>
      </c>
      <c r="AI18" s="69">
        <v>1275</v>
      </c>
      <c r="AJ18" s="69">
        <v>88709</v>
      </c>
      <c r="AK18" s="56"/>
      <c r="AL18" s="67">
        <f t="shared" si="6"/>
        <v>346116</v>
      </c>
    </row>
    <row r="19" spans="1:38" ht="15.75">
      <c r="A19" s="63" t="s">
        <v>4</v>
      </c>
      <c r="B19" s="63" t="s">
        <v>15</v>
      </c>
      <c r="C19" s="63" t="s">
        <v>2</v>
      </c>
      <c r="D19" s="83">
        <v>3540.7</v>
      </c>
      <c r="E19" s="63">
        <v>213761.25</v>
      </c>
      <c r="F19" s="63">
        <v>-6420.82</v>
      </c>
      <c r="G19" s="63">
        <v>0</v>
      </c>
      <c r="H19" s="63">
        <v>207340.43</v>
      </c>
      <c r="I19" s="63">
        <v>202578.27</v>
      </c>
      <c r="J19" s="66">
        <f t="shared" si="0"/>
        <v>15720.707999999999</v>
      </c>
      <c r="K19" s="66">
        <f t="shared" si="1"/>
        <v>50561.195999999996</v>
      </c>
      <c r="L19" s="66">
        <f t="shared" si="2"/>
        <v>50136.312</v>
      </c>
      <c r="M19" s="66">
        <f t="shared" si="3"/>
        <v>11046.984</v>
      </c>
      <c r="N19" s="66">
        <f t="shared" si="4"/>
        <v>2549.3039999999996</v>
      </c>
      <c r="O19" s="66">
        <f t="shared" si="5"/>
        <v>7789.539999999999</v>
      </c>
      <c r="P19" s="66">
        <v>1155.2</v>
      </c>
      <c r="Q19" s="63"/>
      <c r="R19" s="63"/>
      <c r="S19" s="66">
        <f>D19*0.55*8+D19*0.59</f>
        <v>17668.093</v>
      </c>
      <c r="T19" s="67">
        <f>SUM(J19:S19)</f>
        <v>156627.337</v>
      </c>
      <c r="U19" s="67">
        <f>D19*1.34*8+D19*1.45*4</f>
        <v>58492.364</v>
      </c>
      <c r="V19" s="67">
        <f>D19*3*8+D19*3.56*4</f>
        <v>135396.368</v>
      </c>
      <c r="W19" s="55">
        <v>12928</v>
      </c>
      <c r="X19" s="56"/>
      <c r="Y19" s="56"/>
      <c r="Z19" s="69"/>
      <c r="AA19" s="69"/>
      <c r="AB19" s="69"/>
      <c r="AC19" s="69"/>
      <c r="AD19" s="56"/>
      <c r="AE19" s="69"/>
      <c r="AF19" s="69">
        <v>4848</v>
      </c>
      <c r="AG19" s="69">
        <v>3475</v>
      </c>
      <c r="AH19" s="69">
        <v>18488</v>
      </c>
      <c r="AI19" s="69"/>
      <c r="AJ19" s="69"/>
      <c r="AK19" s="56"/>
      <c r="AL19" s="67">
        <f t="shared" si="6"/>
        <v>39739</v>
      </c>
    </row>
    <row r="20" spans="1:38" ht="15.75">
      <c r="A20" s="63" t="s">
        <v>4</v>
      </c>
      <c r="B20" s="63" t="s">
        <v>16</v>
      </c>
      <c r="C20" s="63" t="s">
        <v>2</v>
      </c>
      <c r="D20" s="83">
        <v>2728.6</v>
      </c>
      <c r="E20" s="63">
        <v>152499.08</v>
      </c>
      <c r="F20" s="63">
        <v>0</v>
      </c>
      <c r="G20" s="63">
        <v>0</v>
      </c>
      <c r="H20" s="63">
        <v>152499.08</v>
      </c>
      <c r="I20" s="63">
        <v>147712.9</v>
      </c>
      <c r="J20" s="66">
        <f t="shared" si="0"/>
        <v>12114.984</v>
      </c>
      <c r="K20" s="66">
        <f t="shared" si="1"/>
        <v>38964.407999999996</v>
      </c>
      <c r="L20" s="66">
        <f t="shared" si="2"/>
        <v>38636.975999999995</v>
      </c>
      <c r="M20" s="66">
        <f t="shared" si="3"/>
        <v>8513.232</v>
      </c>
      <c r="N20" s="66">
        <f t="shared" si="4"/>
        <v>1964.5919999999996</v>
      </c>
      <c r="O20" s="66">
        <f t="shared" si="5"/>
        <v>6002.92</v>
      </c>
      <c r="P20" s="66">
        <v>1325.52</v>
      </c>
      <c r="Q20" s="63">
        <v>9378.88</v>
      </c>
      <c r="R20" s="63"/>
      <c r="S20" s="66">
        <f>D20*0.55*8+D20*0.59</f>
        <v>13615.714</v>
      </c>
      <c r="T20" s="67">
        <f>SUM(J20:S20)</f>
        <v>130517.226</v>
      </c>
      <c r="U20" s="67">
        <f>D20*1.34*8+D20*1.45*4</f>
        <v>45076.472</v>
      </c>
      <c r="V20" s="67">
        <f>D20*3*8+D20*3.56*4</f>
        <v>104341.66399999999</v>
      </c>
      <c r="W20" s="55">
        <v>38163</v>
      </c>
      <c r="X20" s="56"/>
      <c r="Y20" s="56"/>
      <c r="Z20" s="69"/>
      <c r="AA20" s="69"/>
      <c r="AB20" s="69"/>
      <c r="AC20" s="69">
        <v>1276</v>
      </c>
      <c r="AD20" s="56"/>
      <c r="AE20" s="69">
        <v>15310</v>
      </c>
      <c r="AF20" s="69">
        <v>6238</v>
      </c>
      <c r="AG20" s="69">
        <v>23632</v>
      </c>
      <c r="AH20" s="69">
        <v>901</v>
      </c>
      <c r="AI20" s="69"/>
      <c r="AJ20" s="69">
        <v>231</v>
      </c>
      <c r="AK20" s="56"/>
      <c r="AL20" s="67">
        <f t="shared" si="6"/>
        <v>85751</v>
      </c>
    </row>
    <row r="21" spans="1:38" ht="15.75">
      <c r="A21" s="63" t="s">
        <v>4</v>
      </c>
      <c r="B21" s="63" t="s">
        <v>17</v>
      </c>
      <c r="C21" s="63" t="s">
        <v>2</v>
      </c>
      <c r="D21" s="83">
        <v>3530.6</v>
      </c>
      <c r="E21" s="63">
        <v>199395.36</v>
      </c>
      <c r="F21" s="63">
        <v>0</v>
      </c>
      <c r="G21" s="63">
        <v>2111.2</v>
      </c>
      <c r="H21" s="63">
        <v>197284.16</v>
      </c>
      <c r="I21" s="63">
        <v>182180.06</v>
      </c>
      <c r="J21" s="66">
        <f t="shared" si="0"/>
        <v>15675.863999999998</v>
      </c>
      <c r="K21" s="66">
        <f t="shared" si="1"/>
        <v>50416.96799999999</v>
      </c>
      <c r="L21" s="66">
        <f t="shared" si="2"/>
        <v>49993.29599999999</v>
      </c>
      <c r="M21" s="66">
        <f t="shared" si="3"/>
        <v>11015.472</v>
      </c>
      <c r="N21" s="66">
        <f t="shared" si="4"/>
        <v>2542.0319999999997</v>
      </c>
      <c r="O21" s="66">
        <f t="shared" si="5"/>
        <v>7767.32</v>
      </c>
      <c r="P21" s="66">
        <v>1155.2</v>
      </c>
      <c r="Q21" s="63"/>
      <c r="R21" s="63"/>
      <c r="S21" s="66">
        <f>D21*0.55*8+D21*0.59</f>
        <v>17617.694</v>
      </c>
      <c r="T21" s="67">
        <f>SUM(J21:S21)</f>
        <v>156183.846</v>
      </c>
      <c r="U21" s="67">
        <f>D21*1.34*8+D21*1.45*4</f>
        <v>58325.512</v>
      </c>
      <c r="V21" s="67">
        <f>D21*3*8+D21*3.56*4</f>
        <v>135010.144</v>
      </c>
      <c r="W21" s="55">
        <v>14695</v>
      </c>
      <c r="X21" s="56"/>
      <c r="Y21" s="69">
        <v>106418</v>
      </c>
      <c r="Z21" s="69"/>
      <c r="AA21" s="69"/>
      <c r="AB21" s="69">
        <v>56555</v>
      </c>
      <c r="AC21" s="69"/>
      <c r="AD21" s="56"/>
      <c r="AE21" s="69"/>
      <c r="AF21" s="69">
        <v>9697</v>
      </c>
      <c r="AG21" s="69">
        <v>86</v>
      </c>
      <c r="AH21" s="69">
        <v>5360</v>
      </c>
      <c r="AI21" s="69"/>
      <c r="AJ21" s="69"/>
      <c r="AK21" s="56"/>
      <c r="AL21" s="67">
        <f t="shared" si="6"/>
        <v>192811</v>
      </c>
    </row>
    <row r="22" spans="1:38" ht="15.75">
      <c r="A22" s="63" t="s">
        <v>4</v>
      </c>
      <c r="B22" s="63" t="s">
        <v>18</v>
      </c>
      <c r="C22" s="63" t="s">
        <v>2</v>
      </c>
      <c r="D22" s="83">
        <v>2592.3</v>
      </c>
      <c r="E22" s="63">
        <v>162559.85</v>
      </c>
      <c r="F22" s="63">
        <v>0</v>
      </c>
      <c r="G22" s="63">
        <v>0</v>
      </c>
      <c r="H22" s="63">
        <v>162559.85</v>
      </c>
      <c r="I22" s="63">
        <v>162038.16</v>
      </c>
      <c r="J22" s="66">
        <f t="shared" si="0"/>
        <v>11509.812000000002</v>
      </c>
      <c r="K22" s="66">
        <f t="shared" si="1"/>
        <v>37018.044</v>
      </c>
      <c r="L22" s="66">
        <f t="shared" si="2"/>
        <v>36706.968</v>
      </c>
      <c r="M22" s="66">
        <f t="shared" si="3"/>
        <v>8087.976000000001</v>
      </c>
      <c r="N22" s="66">
        <f t="shared" si="4"/>
        <v>1866.4560000000001</v>
      </c>
      <c r="O22" s="66">
        <f t="shared" si="5"/>
        <v>5703.06</v>
      </c>
      <c r="P22" s="66">
        <v>1420.2</v>
      </c>
      <c r="Q22" s="66">
        <v>10048.8</v>
      </c>
      <c r="R22" s="63"/>
      <c r="S22" s="66">
        <f>D22*0.55*8+D22*0.59</f>
        <v>12935.577000000003</v>
      </c>
      <c r="T22" s="67">
        <f>SUM(J22:S22)</f>
        <v>125296.893</v>
      </c>
      <c r="U22" s="67">
        <f>D22*1.34*8+D22*1.45*4</f>
        <v>42824.796</v>
      </c>
      <c r="V22" s="67">
        <f>D22*3*8+D22*3.56*4</f>
        <v>99129.55200000001</v>
      </c>
      <c r="W22" s="55"/>
      <c r="X22" s="56"/>
      <c r="Y22" s="69"/>
      <c r="Z22" s="69">
        <v>9536</v>
      </c>
      <c r="AA22" s="69"/>
      <c r="AB22" s="69"/>
      <c r="AC22" s="69"/>
      <c r="AD22" s="56"/>
      <c r="AE22" s="69"/>
      <c r="AF22" s="69"/>
      <c r="AG22" s="69">
        <v>35850</v>
      </c>
      <c r="AH22" s="69">
        <v>4687</v>
      </c>
      <c r="AI22" s="69">
        <v>8768</v>
      </c>
      <c r="AJ22" s="69"/>
      <c r="AK22" s="56"/>
      <c r="AL22" s="67">
        <f t="shared" si="6"/>
        <v>58841</v>
      </c>
    </row>
    <row r="23" spans="1:38" ht="15.75">
      <c r="A23" s="63" t="s">
        <v>4</v>
      </c>
      <c r="B23" s="63" t="s">
        <v>19</v>
      </c>
      <c r="C23" s="63" t="s">
        <v>2</v>
      </c>
      <c r="D23" s="83">
        <v>3532.7</v>
      </c>
      <c r="E23" s="63">
        <v>210144.48</v>
      </c>
      <c r="F23" s="63">
        <v>0</v>
      </c>
      <c r="G23" s="63">
        <v>1464.2</v>
      </c>
      <c r="H23" s="63">
        <v>208680.28</v>
      </c>
      <c r="I23" s="63">
        <v>202766.85</v>
      </c>
      <c r="J23" s="66">
        <f t="shared" si="0"/>
        <v>15685.187999999998</v>
      </c>
      <c r="K23" s="66">
        <f t="shared" si="1"/>
        <v>50446.95599999999</v>
      </c>
      <c r="L23" s="66">
        <f t="shared" si="2"/>
        <v>50023.03199999999</v>
      </c>
      <c r="M23" s="66">
        <f t="shared" si="3"/>
        <v>11022.024</v>
      </c>
      <c r="N23" s="66">
        <f t="shared" si="4"/>
        <v>2543.544</v>
      </c>
      <c r="O23" s="66">
        <f t="shared" si="5"/>
        <v>7771.94</v>
      </c>
      <c r="P23" s="66">
        <v>1893.6</v>
      </c>
      <c r="Q23" s="63">
        <v>13397.85</v>
      </c>
      <c r="R23" s="63"/>
      <c r="S23" s="66">
        <f>D23*0.55*8+D23*0.59</f>
        <v>17628.173000000003</v>
      </c>
      <c r="T23" s="67">
        <f>SUM(J23:S23)</f>
        <v>170412.307</v>
      </c>
      <c r="U23" s="67">
        <f>D23*1.34*8+D23*1.45*4</f>
        <v>58360.204</v>
      </c>
      <c r="V23" s="67">
        <f>D23*3*8+D23*3.56*4</f>
        <v>135090.44799999997</v>
      </c>
      <c r="W23" s="55">
        <v>63709</v>
      </c>
      <c r="X23" s="56"/>
      <c r="Y23" s="69"/>
      <c r="Z23" s="69"/>
      <c r="AA23" s="69"/>
      <c r="AB23" s="69">
        <v>4698</v>
      </c>
      <c r="AC23" s="69"/>
      <c r="AD23" s="56"/>
      <c r="AE23" s="69">
        <v>5185</v>
      </c>
      <c r="AF23" s="69"/>
      <c r="AG23" s="69">
        <v>5898</v>
      </c>
      <c r="AH23" s="69"/>
      <c r="AI23" s="69"/>
      <c r="AJ23" s="69">
        <v>3645</v>
      </c>
      <c r="AK23" s="56"/>
      <c r="AL23" s="67">
        <f t="shared" si="6"/>
        <v>83135</v>
      </c>
    </row>
    <row r="24" spans="1:38" ht="15.75">
      <c r="A24" s="63" t="s">
        <v>4</v>
      </c>
      <c r="B24" s="63" t="s">
        <v>20</v>
      </c>
      <c r="C24" s="63" t="s">
        <v>2</v>
      </c>
      <c r="D24" s="83">
        <v>2586.8</v>
      </c>
      <c r="E24" s="63">
        <v>145746.48</v>
      </c>
      <c r="F24" s="63">
        <v>0</v>
      </c>
      <c r="G24" s="63">
        <v>0</v>
      </c>
      <c r="H24" s="63">
        <v>145746.48</v>
      </c>
      <c r="I24" s="63">
        <v>144610.98</v>
      </c>
      <c r="J24" s="66">
        <f t="shared" si="0"/>
        <v>11485.392</v>
      </c>
      <c r="K24" s="66">
        <f t="shared" si="1"/>
        <v>36939.504</v>
      </c>
      <c r="L24" s="66">
        <f t="shared" si="2"/>
        <v>36629.088</v>
      </c>
      <c r="M24" s="66">
        <f t="shared" si="3"/>
        <v>8070.816000000001</v>
      </c>
      <c r="N24" s="66">
        <f t="shared" si="4"/>
        <v>1862.496</v>
      </c>
      <c r="O24" s="66">
        <f t="shared" si="5"/>
        <v>5690.96</v>
      </c>
      <c r="P24" s="66">
        <v>1420.2</v>
      </c>
      <c r="Q24" s="66">
        <v>10048.8</v>
      </c>
      <c r="R24" s="63"/>
      <c r="S24" s="66">
        <f>D24*0.55*8+D24*0.59</f>
        <v>12908.132000000001</v>
      </c>
      <c r="T24" s="67">
        <f>SUM(J24:S24)</f>
        <v>125055.388</v>
      </c>
      <c r="U24" s="67">
        <f>D24*1.34*8+D24*1.45*4</f>
        <v>42733.936</v>
      </c>
      <c r="V24" s="67">
        <f>D24*3*8+D24*3.56*4</f>
        <v>98919.23200000002</v>
      </c>
      <c r="W24" s="55">
        <v>25014</v>
      </c>
      <c r="X24" s="56"/>
      <c r="Y24" s="69"/>
      <c r="Z24" s="69"/>
      <c r="AA24" s="69">
        <v>191160</v>
      </c>
      <c r="AB24" s="69"/>
      <c r="AC24" s="69"/>
      <c r="AD24" s="56"/>
      <c r="AE24" s="69"/>
      <c r="AF24" s="69">
        <v>2136</v>
      </c>
      <c r="AG24" s="69">
        <v>10764</v>
      </c>
      <c r="AH24" s="69"/>
      <c r="AI24" s="69"/>
      <c r="AJ24" s="69"/>
      <c r="AK24" s="56"/>
      <c r="AL24" s="67">
        <f t="shared" si="6"/>
        <v>229074</v>
      </c>
    </row>
    <row r="25" spans="1:38" ht="15.75">
      <c r="A25" s="63" t="s">
        <v>4</v>
      </c>
      <c r="B25" s="63" t="s">
        <v>21</v>
      </c>
      <c r="C25" s="63" t="s">
        <v>2</v>
      </c>
      <c r="D25" s="83">
        <v>3576.4</v>
      </c>
      <c r="E25" s="63">
        <v>207546.4</v>
      </c>
      <c r="F25" s="63">
        <v>0</v>
      </c>
      <c r="G25" s="63">
        <v>2111.2</v>
      </c>
      <c r="H25" s="63">
        <v>205435.2</v>
      </c>
      <c r="I25" s="63">
        <v>200597.14</v>
      </c>
      <c r="J25" s="66">
        <f t="shared" si="0"/>
        <v>15879.216</v>
      </c>
      <c r="K25" s="66">
        <f t="shared" si="1"/>
        <v>51070.992</v>
      </c>
      <c r="L25" s="66">
        <f t="shared" si="2"/>
        <v>50641.824</v>
      </c>
      <c r="M25" s="66">
        <f t="shared" si="3"/>
        <v>11158.368</v>
      </c>
      <c r="N25" s="66">
        <f t="shared" si="4"/>
        <v>2575.008</v>
      </c>
      <c r="O25" s="66">
        <f t="shared" si="5"/>
        <v>7868.08</v>
      </c>
      <c r="P25" s="66">
        <v>1155.2</v>
      </c>
      <c r="Q25" s="63"/>
      <c r="R25" s="63"/>
      <c r="S25" s="66">
        <f>D25*0.55*8+D25*0.59</f>
        <v>17846.236</v>
      </c>
      <c r="T25" s="67">
        <f>SUM(J25:S25)</f>
        <v>158194.924</v>
      </c>
      <c r="U25" s="67">
        <f>D25*1.34*8+D25*1.45*4</f>
        <v>59082.128</v>
      </c>
      <c r="V25" s="67">
        <f>D25*3*8+D25*3.56*4</f>
        <v>136761.53600000002</v>
      </c>
      <c r="W25" s="55">
        <v>1607</v>
      </c>
      <c r="X25" s="56"/>
      <c r="Y25" s="69">
        <v>24480</v>
      </c>
      <c r="Z25" s="69"/>
      <c r="AA25" s="69">
        <v>7125</v>
      </c>
      <c r="AB25" s="69">
        <v>190</v>
      </c>
      <c r="AC25" s="69"/>
      <c r="AD25" s="56"/>
      <c r="AE25" s="69"/>
      <c r="AF25" s="69">
        <v>11781</v>
      </c>
      <c r="AG25" s="69">
        <v>23632</v>
      </c>
      <c r="AH25" s="69">
        <v>4443</v>
      </c>
      <c r="AI25" s="69"/>
      <c r="AJ25" s="69"/>
      <c r="AK25" s="56"/>
      <c r="AL25" s="67">
        <f t="shared" si="6"/>
        <v>73258</v>
      </c>
    </row>
    <row r="26" spans="1:38" ht="15.75">
      <c r="A26" s="63" t="s">
        <v>4</v>
      </c>
      <c r="B26" s="63" t="s">
        <v>22</v>
      </c>
      <c r="C26" s="63" t="s">
        <v>2</v>
      </c>
      <c r="D26" s="83">
        <v>2554.3</v>
      </c>
      <c r="E26" s="63">
        <v>141836.32</v>
      </c>
      <c r="F26" s="63">
        <v>0</v>
      </c>
      <c r="G26" s="63">
        <v>0</v>
      </c>
      <c r="H26" s="63">
        <v>141836.32</v>
      </c>
      <c r="I26" s="63">
        <v>136670.4</v>
      </c>
      <c r="J26" s="66">
        <f t="shared" si="0"/>
        <v>11341.092</v>
      </c>
      <c r="K26" s="66">
        <f t="shared" si="1"/>
        <v>36475.404</v>
      </c>
      <c r="L26" s="66">
        <f t="shared" si="2"/>
        <v>36168.888</v>
      </c>
      <c r="M26" s="66">
        <f t="shared" si="3"/>
        <v>7969.416000000001</v>
      </c>
      <c r="N26" s="66">
        <f t="shared" si="4"/>
        <v>1839.096</v>
      </c>
      <c r="O26" s="66">
        <f t="shared" si="5"/>
        <v>5619.46</v>
      </c>
      <c r="P26" s="66">
        <v>1420.2</v>
      </c>
      <c r="Q26" s="66">
        <v>10048.8</v>
      </c>
      <c r="R26" s="63"/>
      <c r="S26" s="66">
        <f>D26*0.55*8+D26*0.59</f>
        <v>12745.957000000002</v>
      </c>
      <c r="T26" s="67">
        <f>SUM(J26:S26)</f>
        <v>123628.313</v>
      </c>
      <c r="U26" s="67">
        <f>D26*1.34*8+D26*1.45*4</f>
        <v>42197.03600000001</v>
      </c>
      <c r="V26" s="67">
        <f>D26*3*8+D26*3.56*4</f>
        <v>97676.432</v>
      </c>
      <c r="W26" s="55">
        <v>24539</v>
      </c>
      <c r="X26" s="56"/>
      <c r="Y26" s="56"/>
      <c r="Z26" s="69">
        <v>1980</v>
      </c>
      <c r="AA26" s="69">
        <v>664</v>
      </c>
      <c r="AB26" s="69">
        <v>8035</v>
      </c>
      <c r="AC26" s="69">
        <v>5658</v>
      </c>
      <c r="AD26" s="56"/>
      <c r="AE26" s="69"/>
      <c r="AF26" s="69"/>
      <c r="AG26" s="56"/>
      <c r="AH26" s="69">
        <v>2747</v>
      </c>
      <c r="AI26" s="69"/>
      <c r="AJ26" s="69"/>
      <c r="AK26" s="56"/>
      <c r="AL26" s="67">
        <f t="shared" si="6"/>
        <v>43623</v>
      </c>
    </row>
    <row r="27" spans="1:38" ht="15.75">
      <c r="A27" s="63" t="s">
        <v>4</v>
      </c>
      <c r="B27" s="63" t="s">
        <v>23</v>
      </c>
      <c r="C27" s="63" t="s">
        <v>2</v>
      </c>
      <c r="D27" s="83">
        <v>3490.8</v>
      </c>
      <c r="E27" s="63">
        <v>199640.92</v>
      </c>
      <c r="F27" s="63">
        <v>0</v>
      </c>
      <c r="G27" s="63">
        <v>0</v>
      </c>
      <c r="H27" s="63">
        <v>199640.92</v>
      </c>
      <c r="I27" s="63">
        <v>187527.83</v>
      </c>
      <c r="J27" s="66">
        <f t="shared" si="0"/>
        <v>15499.152000000002</v>
      </c>
      <c r="K27" s="66">
        <f t="shared" si="1"/>
        <v>49848.623999999996</v>
      </c>
      <c r="L27" s="66">
        <f t="shared" si="2"/>
        <v>49429.728</v>
      </c>
      <c r="M27" s="66">
        <f t="shared" si="3"/>
        <v>10891.296</v>
      </c>
      <c r="N27" s="66">
        <f t="shared" si="4"/>
        <v>2513.376</v>
      </c>
      <c r="O27" s="66">
        <f t="shared" si="5"/>
        <v>7679.76</v>
      </c>
      <c r="P27" s="66">
        <v>1893.6</v>
      </c>
      <c r="Q27" s="63">
        <v>13397.85</v>
      </c>
      <c r="R27" s="63"/>
      <c r="S27" s="66">
        <f>D27*0.55*8+D27*0.59</f>
        <v>17419.092000000004</v>
      </c>
      <c r="T27" s="67">
        <f>SUM(J27:S27)</f>
        <v>168572.47800000003</v>
      </c>
      <c r="U27" s="67">
        <f>D27*1.34*8+D27*1.45*4</f>
        <v>57668.016</v>
      </c>
      <c r="V27" s="67">
        <f>D27*3*8+D27*3.56*4</f>
        <v>133488.192</v>
      </c>
      <c r="W27" s="55">
        <v>37163</v>
      </c>
      <c r="X27" s="56"/>
      <c r="Y27" s="56"/>
      <c r="Z27" s="69"/>
      <c r="AA27" s="56"/>
      <c r="AB27" s="69">
        <v>1654</v>
      </c>
      <c r="AC27" s="69"/>
      <c r="AD27" s="56"/>
      <c r="AE27" s="69">
        <v>11132</v>
      </c>
      <c r="AF27" s="69">
        <v>5542</v>
      </c>
      <c r="AG27" s="56"/>
      <c r="AH27" s="69">
        <v>732</v>
      </c>
      <c r="AI27" s="69"/>
      <c r="AJ27" s="69">
        <v>9278</v>
      </c>
      <c r="AK27" s="56"/>
      <c r="AL27" s="67">
        <f t="shared" si="6"/>
        <v>65501</v>
      </c>
    </row>
    <row r="28" spans="1:38" ht="15.75">
      <c r="A28" s="63" t="s">
        <v>4</v>
      </c>
      <c r="B28" s="63" t="s">
        <v>24</v>
      </c>
      <c r="C28" s="63" t="s">
        <v>2</v>
      </c>
      <c r="D28" s="83">
        <v>2520.2</v>
      </c>
      <c r="E28" s="63">
        <v>154920.94</v>
      </c>
      <c r="F28" s="63">
        <v>0</v>
      </c>
      <c r="G28" s="63">
        <v>1270</v>
      </c>
      <c r="H28" s="63">
        <v>153650.94</v>
      </c>
      <c r="I28" s="63">
        <v>150140.34</v>
      </c>
      <c r="J28" s="66">
        <f t="shared" si="0"/>
        <v>11189.687999999998</v>
      </c>
      <c r="K28" s="66">
        <f t="shared" si="1"/>
        <v>35988.45599999999</v>
      </c>
      <c r="L28" s="66">
        <f t="shared" si="2"/>
        <v>35686.032</v>
      </c>
      <c r="M28" s="66">
        <f t="shared" si="3"/>
        <v>7863.023999999999</v>
      </c>
      <c r="N28" s="66">
        <f t="shared" si="4"/>
        <v>1814.5439999999999</v>
      </c>
      <c r="O28" s="66">
        <f t="shared" si="5"/>
        <v>5544.44</v>
      </c>
      <c r="P28" s="66">
        <v>1420.2</v>
      </c>
      <c r="Q28" s="66">
        <v>10048.8</v>
      </c>
      <c r="R28" s="63"/>
      <c r="S28" s="66">
        <f>D28*0.55*8+D28*0.59</f>
        <v>12575.797999999999</v>
      </c>
      <c r="T28" s="67">
        <f>SUM(J28:S28)</f>
        <v>122130.98199999997</v>
      </c>
      <c r="U28" s="67">
        <f>D28*1.34*8+D28*1.45*4</f>
        <v>41633.704</v>
      </c>
      <c r="V28" s="67">
        <f>D28*3*8+D28*3.56*4</f>
        <v>96372.448</v>
      </c>
      <c r="W28" s="55">
        <v>35955</v>
      </c>
      <c r="X28" s="56"/>
      <c r="Y28" s="56"/>
      <c r="Z28" s="69"/>
      <c r="AA28" s="56"/>
      <c r="AB28" s="69">
        <v>20474</v>
      </c>
      <c r="AC28" s="69">
        <v>2895</v>
      </c>
      <c r="AD28" s="56"/>
      <c r="AE28" s="69"/>
      <c r="AF28" s="69"/>
      <c r="AG28" s="56"/>
      <c r="AH28" s="56"/>
      <c r="AI28" s="56"/>
      <c r="AJ28" s="56"/>
      <c r="AK28" s="56"/>
      <c r="AL28" s="67">
        <f t="shared" si="6"/>
        <v>59324</v>
      </c>
    </row>
    <row r="29" spans="1:38" ht="15.75">
      <c r="A29" s="63" t="s">
        <v>4</v>
      </c>
      <c r="B29" s="63" t="s">
        <v>25</v>
      </c>
      <c r="C29" s="63" t="s">
        <v>2</v>
      </c>
      <c r="D29" s="83">
        <v>1275.5</v>
      </c>
      <c r="E29" s="63">
        <v>70457.68</v>
      </c>
      <c r="F29" s="63">
        <v>0</v>
      </c>
      <c r="G29" s="63">
        <v>1167</v>
      </c>
      <c r="H29" s="63">
        <v>69290.68</v>
      </c>
      <c r="I29" s="63">
        <v>68621.45</v>
      </c>
      <c r="J29" s="66">
        <f t="shared" si="0"/>
        <v>5663.22</v>
      </c>
      <c r="K29" s="66">
        <f t="shared" si="1"/>
        <v>18214.14</v>
      </c>
      <c r="L29" s="66">
        <f t="shared" si="2"/>
        <v>18061.079999999998</v>
      </c>
      <c r="M29" s="66">
        <f t="shared" si="3"/>
        <v>3979.56</v>
      </c>
      <c r="N29" s="66">
        <f t="shared" si="4"/>
        <v>918.36</v>
      </c>
      <c r="O29" s="66">
        <f t="shared" si="5"/>
        <v>2806.1</v>
      </c>
      <c r="P29" s="66">
        <v>1643.52</v>
      </c>
      <c r="Q29" s="63">
        <v>5359.36</v>
      </c>
      <c r="R29" s="63">
        <v>15850</v>
      </c>
      <c r="S29" s="66">
        <f>D29*0.55*8+D29*0.59</f>
        <v>6364.745000000001</v>
      </c>
      <c r="T29" s="67">
        <f>SUM(J29:S29)</f>
        <v>78860.08499999999</v>
      </c>
      <c r="U29" s="67">
        <f>D29*1.34*8+D29*1.45*4</f>
        <v>21071.260000000002</v>
      </c>
      <c r="V29" s="67">
        <f>D29*3*8+D29*3.56*4</f>
        <v>48775.119999999995</v>
      </c>
      <c r="W29" s="57"/>
      <c r="X29" s="56"/>
      <c r="Y29" s="56"/>
      <c r="Z29" s="69">
        <v>697</v>
      </c>
      <c r="AA29" s="56"/>
      <c r="AB29" s="56"/>
      <c r="AC29" s="56"/>
      <c r="AD29" s="56"/>
      <c r="AE29" s="69"/>
      <c r="AF29" s="69">
        <v>1944</v>
      </c>
      <c r="AG29" s="56"/>
      <c r="AH29" s="56"/>
      <c r="AI29" s="56"/>
      <c r="AJ29" s="56"/>
      <c r="AK29" s="56"/>
      <c r="AL29" s="67">
        <f t="shared" si="6"/>
        <v>2641</v>
      </c>
    </row>
    <row r="30" spans="1:38" ht="15.75">
      <c r="A30" s="63" t="s">
        <v>4</v>
      </c>
      <c r="B30" s="63" t="s">
        <v>26</v>
      </c>
      <c r="C30" s="63" t="s">
        <v>2</v>
      </c>
      <c r="D30" s="83">
        <v>1162.3</v>
      </c>
      <c r="E30" s="63">
        <v>70148.92</v>
      </c>
      <c r="F30" s="63">
        <v>0</v>
      </c>
      <c r="G30" s="63">
        <v>0</v>
      </c>
      <c r="H30" s="63">
        <v>70148.92</v>
      </c>
      <c r="I30" s="63">
        <v>60162.3</v>
      </c>
      <c r="J30" s="66">
        <f t="shared" si="0"/>
        <v>5160.611999999999</v>
      </c>
      <c r="K30" s="66">
        <f t="shared" si="1"/>
        <v>16597.644</v>
      </c>
      <c r="L30" s="66">
        <f t="shared" si="2"/>
        <v>16458.167999999998</v>
      </c>
      <c r="M30" s="66">
        <f t="shared" si="3"/>
        <v>3626.3759999999997</v>
      </c>
      <c r="N30" s="66">
        <f t="shared" si="4"/>
        <v>836.856</v>
      </c>
      <c r="O30" s="66">
        <f t="shared" si="5"/>
        <v>2557.0599999999995</v>
      </c>
      <c r="P30" s="66">
        <v>924.48</v>
      </c>
      <c r="Q30" s="63"/>
      <c r="R30" s="63"/>
      <c r="S30" s="66">
        <f>D30*0.55*8+D30*0.59</f>
        <v>5799.8769999999995</v>
      </c>
      <c r="T30" s="67">
        <f>SUM(J30:S30)</f>
        <v>51961.073</v>
      </c>
      <c r="U30" s="67"/>
      <c r="V30" s="67">
        <f>D30*3*8+D30*3.56*4</f>
        <v>44446.352</v>
      </c>
      <c r="W30" s="57">
        <v>31969</v>
      </c>
      <c r="X30" s="56">
        <v>2806</v>
      </c>
      <c r="Y30" s="56"/>
      <c r="Z30" s="56">
        <v>1045</v>
      </c>
      <c r="AA30" s="56"/>
      <c r="AB30" s="56"/>
      <c r="AC30" s="56">
        <v>17891</v>
      </c>
      <c r="AD30" s="56"/>
      <c r="AE30" s="56"/>
      <c r="AF30" s="56">
        <v>1218</v>
      </c>
      <c r="AG30" s="56"/>
      <c r="AH30" s="56"/>
      <c r="AI30" s="56"/>
      <c r="AJ30" s="56"/>
      <c r="AK30" s="56"/>
      <c r="AL30" s="67">
        <f t="shared" si="6"/>
        <v>54929</v>
      </c>
    </row>
    <row r="31" spans="1:38" ht="15.75">
      <c r="A31" s="63" t="s">
        <v>4</v>
      </c>
      <c r="B31" s="63" t="s">
        <v>27</v>
      </c>
      <c r="C31" s="63" t="s">
        <v>2</v>
      </c>
      <c r="D31" s="83">
        <v>939.8</v>
      </c>
      <c r="E31" s="63">
        <v>52270.48</v>
      </c>
      <c r="F31" s="63">
        <v>0</v>
      </c>
      <c r="G31" s="63">
        <v>0</v>
      </c>
      <c r="H31" s="63">
        <v>52270.48</v>
      </c>
      <c r="I31" s="63">
        <v>47094.53</v>
      </c>
      <c r="J31" s="66">
        <f t="shared" si="0"/>
        <v>4172.7119999999995</v>
      </c>
      <c r="K31" s="66">
        <f t="shared" si="1"/>
        <v>13420.343999999997</v>
      </c>
      <c r="L31" s="66">
        <f t="shared" si="2"/>
        <v>13307.568</v>
      </c>
      <c r="M31" s="66">
        <f t="shared" si="3"/>
        <v>2932.176</v>
      </c>
      <c r="N31" s="66">
        <f t="shared" si="4"/>
        <v>676.656</v>
      </c>
      <c r="O31" s="66">
        <f t="shared" si="5"/>
        <v>2067.56</v>
      </c>
      <c r="P31" s="66">
        <v>1232.64</v>
      </c>
      <c r="Q31" s="63"/>
      <c r="R31" s="63"/>
      <c r="S31" s="66">
        <f>D31*0.55*8+D31*0.59</f>
        <v>4689.602</v>
      </c>
      <c r="T31" s="67">
        <f>SUM(J31:S31)</f>
        <v>42499.257999999994</v>
      </c>
      <c r="U31" s="67"/>
      <c r="V31" s="67">
        <f>D31*3*8+D31*3.56*4</f>
        <v>35937.952</v>
      </c>
      <c r="W31" s="57"/>
      <c r="X31" s="56"/>
      <c r="Y31" s="56"/>
      <c r="Z31" s="56">
        <v>1741</v>
      </c>
      <c r="AA31" s="56"/>
      <c r="AB31" s="56">
        <v>226</v>
      </c>
      <c r="AC31" s="56">
        <v>4314</v>
      </c>
      <c r="AD31" s="56"/>
      <c r="AE31" s="56"/>
      <c r="AF31" s="56"/>
      <c r="AG31" s="56"/>
      <c r="AH31" s="56"/>
      <c r="AI31" s="56"/>
      <c r="AJ31" s="56">
        <v>975</v>
      </c>
      <c r="AK31" s="56"/>
      <c r="AL31" s="67">
        <f t="shared" si="6"/>
        <v>7256</v>
      </c>
    </row>
    <row r="32" spans="1:38" ht="15.75">
      <c r="A32" s="63" t="s">
        <v>4</v>
      </c>
      <c r="B32" s="63" t="s">
        <v>28</v>
      </c>
      <c r="C32" s="63" t="s">
        <v>2</v>
      </c>
      <c r="D32" s="83">
        <v>3546.1</v>
      </c>
      <c r="E32" s="63">
        <v>200290.19</v>
      </c>
      <c r="F32" s="63">
        <v>-2615.08</v>
      </c>
      <c r="G32" s="63">
        <v>0</v>
      </c>
      <c r="H32" s="63">
        <v>197675.11</v>
      </c>
      <c r="I32" s="63">
        <v>191640.46</v>
      </c>
      <c r="J32" s="66">
        <f t="shared" si="0"/>
        <v>15744.684000000001</v>
      </c>
      <c r="K32" s="66">
        <f t="shared" si="1"/>
        <v>50638.30799999999</v>
      </c>
      <c r="L32" s="66">
        <f t="shared" si="2"/>
        <v>50212.77599999999</v>
      </c>
      <c r="M32" s="66">
        <f t="shared" si="3"/>
        <v>11063.832</v>
      </c>
      <c r="N32" s="66">
        <f t="shared" si="4"/>
        <v>2553.192</v>
      </c>
      <c r="O32" s="66">
        <f t="shared" si="5"/>
        <v>7801.42</v>
      </c>
      <c r="P32" s="66">
        <v>1155.2</v>
      </c>
      <c r="Q32" s="63">
        <v>13397.85</v>
      </c>
      <c r="R32" s="63">
        <v>17725</v>
      </c>
      <c r="S32" s="66">
        <f>D32*0.55*8+D32*0.59</f>
        <v>17695.039</v>
      </c>
      <c r="T32" s="67">
        <f>SUM(J32:S32)</f>
        <v>187987.30099999998</v>
      </c>
      <c r="U32" s="67">
        <f>D32*1.34*8+D32*1.45*4</f>
        <v>58581.572</v>
      </c>
      <c r="V32" s="67">
        <f>D32*3*8+D32*3.56*4</f>
        <v>135602.864</v>
      </c>
      <c r="W32" s="57">
        <v>6915</v>
      </c>
      <c r="X32" s="56"/>
      <c r="Y32" s="56">
        <v>11824</v>
      </c>
      <c r="Z32" s="56">
        <v>1045</v>
      </c>
      <c r="AA32" s="56"/>
      <c r="AB32" s="56">
        <v>74002</v>
      </c>
      <c r="AC32" s="56"/>
      <c r="AD32" s="56"/>
      <c r="AE32" s="56"/>
      <c r="AF32" s="56">
        <v>5839</v>
      </c>
      <c r="AG32" s="56"/>
      <c r="AH32" s="56">
        <v>9862</v>
      </c>
      <c r="AI32" s="56">
        <v>10263</v>
      </c>
      <c r="AJ32" s="56"/>
      <c r="AK32" s="56"/>
      <c r="AL32" s="67">
        <f t="shared" si="6"/>
        <v>119750</v>
      </c>
    </row>
    <row r="33" spans="1:38" ht="15.75">
      <c r="A33" s="63" t="s">
        <v>4</v>
      </c>
      <c r="B33" s="63" t="s">
        <v>3</v>
      </c>
      <c r="C33" s="63" t="s">
        <v>2</v>
      </c>
      <c r="D33" s="83">
        <v>596.4</v>
      </c>
      <c r="E33" s="63">
        <v>40553.84</v>
      </c>
      <c r="F33" s="63">
        <v>0</v>
      </c>
      <c r="G33" s="63">
        <v>0</v>
      </c>
      <c r="H33" s="63">
        <v>40553.84</v>
      </c>
      <c r="I33" s="63">
        <v>40925.09</v>
      </c>
      <c r="J33" s="66">
        <f t="shared" si="0"/>
        <v>2648.0159999999996</v>
      </c>
      <c r="K33" s="66">
        <f t="shared" si="1"/>
        <v>8516.591999999999</v>
      </c>
      <c r="L33" s="66">
        <f t="shared" si="2"/>
        <v>8445.024</v>
      </c>
      <c r="M33" s="66">
        <f t="shared" si="3"/>
        <v>1860.768</v>
      </c>
      <c r="N33" s="66">
        <f t="shared" si="4"/>
        <v>429.408</v>
      </c>
      <c r="O33" s="66">
        <f t="shared" si="5"/>
        <v>1312.08</v>
      </c>
      <c r="P33" s="66">
        <v>443.04</v>
      </c>
      <c r="Q33" s="63"/>
      <c r="R33" s="63"/>
      <c r="S33" s="66">
        <f>D33*0.55*8+D33*0.59</f>
        <v>2976.036</v>
      </c>
      <c r="T33" s="67">
        <f>SUM(J33:S33)</f>
        <v>26630.964</v>
      </c>
      <c r="U33" s="67"/>
      <c r="V33" s="67">
        <f>D33*3*8+D33*3.56*4</f>
        <v>22806.335999999996</v>
      </c>
      <c r="W33" s="57"/>
      <c r="X33" s="56">
        <v>10176</v>
      </c>
      <c r="Y33" s="56"/>
      <c r="Z33" s="56">
        <v>871</v>
      </c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67">
        <f t="shared" si="6"/>
        <v>11047</v>
      </c>
    </row>
    <row r="34" spans="1:38" ht="15.75">
      <c r="A34" s="63" t="s">
        <v>4</v>
      </c>
      <c r="B34" s="63" t="s">
        <v>29</v>
      </c>
      <c r="C34" s="63" t="s">
        <v>2</v>
      </c>
      <c r="D34" s="83">
        <v>984.7</v>
      </c>
      <c r="E34" s="63">
        <v>55350.08</v>
      </c>
      <c r="F34" s="63">
        <v>0</v>
      </c>
      <c r="G34" s="63">
        <v>0</v>
      </c>
      <c r="H34" s="63">
        <v>55350.08</v>
      </c>
      <c r="I34" s="63">
        <v>57295.78</v>
      </c>
      <c r="J34" s="66">
        <f t="shared" si="0"/>
        <v>4372.068</v>
      </c>
      <c r="K34" s="66">
        <f t="shared" si="1"/>
        <v>14061.516</v>
      </c>
      <c r="L34" s="66">
        <f t="shared" si="2"/>
        <v>13943.351999999999</v>
      </c>
      <c r="M34" s="66">
        <f t="shared" si="3"/>
        <v>3072.2640000000006</v>
      </c>
      <c r="N34" s="66">
        <f t="shared" si="4"/>
        <v>708.984</v>
      </c>
      <c r="O34" s="66">
        <f t="shared" si="5"/>
        <v>2166.34</v>
      </c>
      <c r="P34" s="66">
        <v>259.92</v>
      </c>
      <c r="Q34" s="63"/>
      <c r="R34" s="63"/>
      <c r="S34" s="66">
        <f>D34*0.55*8+D34*0.59</f>
        <v>4913.653</v>
      </c>
      <c r="T34" s="67">
        <f>SUM(J34:S34)</f>
        <v>43498.09699999999</v>
      </c>
      <c r="U34" s="67"/>
      <c r="V34" s="67">
        <f>D34*3*8+D34*3.56*4</f>
        <v>37654.928</v>
      </c>
      <c r="W34" s="57">
        <v>99226</v>
      </c>
      <c r="X34" s="56"/>
      <c r="Y34" s="56"/>
      <c r="Z34" s="56">
        <v>697</v>
      </c>
      <c r="AA34" s="56">
        <v>79934</v>
      </c>
      <c r="AB34" s="56"/>
      <c r="AC34" s="56"/>
      <c r="AD34" s="56"/>
      <c r="AE34" s="56">
        <v>464</v>
      </c>
      <c r="AF34" s="56">
        <v>1944</v>
      </c>
      <c r="AG34" s="56"/>
      <c r="AH34" s="56"/>
      <c r="AI34" s="56"/>
      <c r="AJ34" s="56"/>
      <c r="AK34" s="56"/>
      <c r="AL34" s="67">
        <f t="shared" si="6"/>
        <v>182265</v>
      </c>
    </row>
    <row r="35" spans="1:38" ht="15.75">
      <c r="A35" s="63" t="s">
        <v>30</v>
      </c>
      <c r="B35" s="63" t="s">
        <v>31</v>
      </c>
      <c r="C35" s="63" t="s">
        <v>2</v>
      </c>
      <c r="D35" s="84">
        <v>2794.4</v>
      </c>
      <c r="E35" s="63">
        <v>152088.95</v>
      </c>
      <c r="F35" s="63">
        <v>0</v>
      </c>
      <c r="G35" s="63">
        <v>0</v>
      </c>
      <c r="H35" s="63">
        <v>152088.95</v>
      </c>
      <c r="I35" s="63">
        <v>151784.7</v>
      </c>
      <c r="J35" s="66">
        <f t="shared" si="0"/>
        <v>12407.136</v>
      </c>
      <c r="K35" s="66">
        <f t="shared" si="1"/>
        <v>39904.032</v>
      </c>
      <c r="L35" s="66">
        <f t="shared" si="2"/>
        <v>39568.704</v>
      </c>
      <c r="M35" s="66">
        <f t="shared" si="3"/>
        <v>8718.528000000002</v>
      </c>
      <c r="N35" s="66">
        <f t="shared" si="4"/>
        <v>2011.9679999999998</v>
      </c>
      <c r="O35" s="66">
        <f t="shared" si="5"/>
        <v>6147.68</v>
      </c>
      <c r="P35" s="66">
        <v>866.4</v>
      </c>
      <c r="Q35" s="63"/>
      <c r="R35" s="63"/>
      <c r="S35" s="66">
        <f>D35*0.55*8+D35*0.59</f>
        <v>13944.056</v>
      </c>
      <c r="T35" s="67">
        <f>SUM(J35:S35)</f>
        <v>123568.504</v>
      </c>
      <c r="U35" s="67">
        <f>D35*1.34*8+D35*1.45*4</f>
        <v>46163.488000000005</v>
      </c>
      <c r="V35" s="67">
        <f>D35*3*8+D35*3.56*4</f>
        <v>106857.856</v>
      </c>
      <c r="W35" s="57"/>
      <c r="X35" s="56"/>
      <c r="Y35" s="56"/>
      <c r="Z35" s="56">
        <v>697</v>
      </c>
      <c r="AA35" s="56"/>
      <c r="AB35" s="56"/>
      <c r="AC35" s="56"/>
      <c r="AD35" s="56"/>
      <c r="AE35" s="56"/>
      <c r="AF35" s="56">
        <v>3232</v>
      </c>
      <c r="AG35" s="56"/>
      <c r="AH35" s="56">
        <v>2348</v>
      </c>
      <c r="AI35" s="56"/>
      <c r="AJ35" s="56"/>
      <c r="AK35" s="56"/>
      <c r="AL35" s="67">
        <f t="shared" si="6"/>
        <v>6277</v>
      </c>
    </row>
    <row r="36" spans="1:38" ht="15.75">
      <c r="A36" s="63" t="s">
        <v>30</v>
      </c>
      <c r="B36" s="63" t="s">
        <v>32</v>
      </c>
      <c r="C36" s="63" t="s">
        <v>2</v>
      </c>
      <c r="D36" s="84">
        <v>4357.9</v>
      </c>
      <c r="E36" s="63">
        <v>243681.52</v>
      </c>
      <c r="F36" s="63">
        <v>0</v>
      </c>
      <c r="G36" s="63">
        <v>0</v>
      </c>
      <c r="H36" s="63">
        <v>243681.52</v>
      </c>
      <c r="I36" s="63">
        <v>256714.77</v>
      </c>
      <c r="J36" s="66">
        <f t="shared" si="0"/>
        <v>19349.075999999997</v>
      </c>
      <c r="K36" s="66">
        <f t="shared" si="1"/>
        <v>62230.81199999999</v>
      </c>
      <c r="L36" s="66">
        <f t="shared" si="2"/>
        <v>61707.86399999999</v>
      </c>
      <c r="M36" s="66">
        <f t="shared" si="3"/>
        <v>13596.647999999997</v>
      </c>
      <c r="N36" s="66">
        <f t="shared" si="4"/>
        <v>3137.688</v>
      </c>
      <c r="O36" s="66">
        <f t="shared" si="5"/>
        <v>9587.38</v>
      </c>
      <c r="P36" s="66">
        <v>1270.72</v>
      </c>
      <c r="Q36" s="63"/>
      <c r="R36" s="63"/>
      <c r="S36" s="66">
        <f>D36*0.55*8+D36*0.59</f>
        <v>21745.921</v>
      </c>
      <c r="T36" s="67">
        <f>SUM(J36:S36)</f>
        <v>192626.10899999997</v>
      </c>
      <c r="U36" s="67">
        <f>D36*1.34*8+D36*1.45*4</f>
        <v>71992.508</v>
      </c>
      <c r="V36" s="67">
        <f>D36*3*8+D36*3.56*4</f>
        <v>166646.096</v>
      </c>
      <c r="W36" s="57"/>
      <c r="X36" s="56"/>
      <c r="Y36" s="56"/>
      <c r="Z36" s="56">
        <v>3731</v>
      </c>
      <c r="AA36" s="56"/>
      <c r="AB36" s="56">
        <v>212</v>
      </c>
      <c r="AC36" s="56"/>
      <c r="AD36" s="56"/>
      <c r="AE36" s="56">
        <v>26240</v>
      </c>
      <c r="AF36" s="56">
        <v>10336</v>
      </c>
      <c r="AG36" s="56">
        <v>11524</v>
      </c>
      <c r="AH36" s="56">
        <v>10154</v>
      </c>
      <c r="AI36" s="56"/>
      <c r="AJ36" s="56">
        <v>2080</v>
      </c>
      <c r="AK36" s="56"/>
      <c r="AL36" s="67">
        <f t="shared" si="6"/>
        <v>64277</v>
      </c>
    </row>
    <row r="37" spans="1:38" ht="15.75">
      <c r="A37" s="63" t="s">
        <v>30</v>
      </c>
      <c r="B37" s="63" t="s">
        <v>6</v>
      </c>
      <c r="C37" s="63" t="s">
        <v>2</v>
      </c>
      <c r="D37" s="84">
        <v>2652</v>
      </c>
      <c r="E37" s="63">
        <v>153847.88</v>
      </c>
      <c r="F37" s="63">
        <v>0</v>
      </c>
      <c r="G37" s="63">
        <v>0</v>
      </c>
      <c r="H37" s="63">
        <v>153847.88</v>
      </c>
      <c r="I37" s="63">
        <v>150381.7</v>
      </c>
      <c r="J37" s="66">
        <f t="shared" si="0"/>
        <v>11774.88</v>
      </c>
      <c r="K37" s="66">
        <f t="shared" si="1"/>
        <v>37870.56</v>
      </c>
      <c r="L37" s="66">
        <f t="shared" si="2"/>
        <v>37552.31999999999</v>
      </c>
      <c r="M37" s="66">
        <f t="shared" si="3"/>
        <v>8274.24</v>
      </c>
      <c r="N37" s="66">
        <f t="shared" si="4"/>
        <v>1909.44</v>
      </c>
      <c r="O37" s="66">
        <f t="shared" si="5"/>
        <v>5834.4</v>
      </c>
      <c r="P37" s="66">
        <v>837.52</v>
      </c>
      <c r="Q37" s="63"/>
      <c r="R37" s="63"/>
      <c r="S37" s="66">
        <f>D37*0.55*8+D37*0.59</f>
        <v>13233.480000000001</v>
      </c>
      <c r="T37" s="67">
        <f>SUM(J37:S37)</f>
        <v>117286.83999999998</v>
      </c>
      <c r="U37" s="67">
        <f>D37*1.34*8+D37*1.45*4</f>
        <v>43811.04</v>
      </c>
      <c r="V37" s="67">
        <f>D37*3*8+D37*3.56*4</f>
        <v>101412.48000000001</v>
      </c>
      <c r="W37" s="57"/>
      <c r="X37" s="56"/>
      <c r="Y37" s="56"/>
      <c r="Z37" s="56">
        <v>348</v>
      </c>
      <c r="AA37" s="56"/>
      <c r="AB37" s="56"/>
      <c r="AC37" s="56"/>
      <c r="AD37" s="56"/>
      <c r="AE37" s="56">
        <v>17493</v>
      </c>
      <c r="AF37" s="56"/>
      <c r="AG37" s="56"/>
      <c r="AH37" s="56"/>
      <c r="AI37" s="56"/>
      <c r="AJ37" s="56"/>
      <c r="AK37" s="56"/>
      <c r="AL37" s="67">
        <f t="shared" si="6"/>
        <v>17841</v>
      </c>
    </row>
    <row r="38" spans="1:38" ht="15.75">
      <c r="A38" s="63" t="s">
        <v>33</v>
      </c>
      <c r="B38" s="63" t="s">
        <v>34</v>
      </c>
      <c r="C38" s="63" t="s">
        <v>2</v>
      </c>
      <c r="D38" s="83">
        <v>1023.3</v>
      </c>
      <c r="E38" s="63">
        <v>9995.42</v>
      </c>
      <c r="F38" s="63">
        <v>-838.19</v>
      </c>
      <c r="G38" s="63">
        <v>0</v>
      </c>
      <c r="H38" s="63">
        <v>9157.23</v>
      </c>
      <c r="I38" s="63">
        <v>6253.11</v>
      </c>
      <c r="J38" s="66">
        <f t="shared" si="0"/>
        <v>4543.451999999999</v>
      </c>
      <c r="K38" s="66">
        <f t="shared" si="1"/>
        <v>14612.723999999998</v>
      </c>
      <c r="L38" s="66">
        <f t="shared" si="2"/>
        <v>14489.928</v>
      </c>
      <c r="M38" s="66">
        <f t="shared" si="3"/>
        <v>3192.696</v>
      </c>
      <c r="N38" s="66">
        <f t="shared" si="4"/>
        <v>736.776</v>
      </c>
      <c r="O38" s="66">
        <f t="shared" si="5"/>
        <v>2251.2599999999998</v>
      </c>
      <c r="P38" s="66"/>
      <c r="Q38" s="63"/>
      <c r="R38" s="63"/>
      <c r="S38" s="66">
        <f>D38*0.55*8+D38*0.59</f>
        <v>5106.267000000001</v>
      </c>
      <c r="T38" s="67">
        <f>SUM(J38:S38)</f>
        <v>44933.103</v>
      </c>
      <c r="U38" s="67"/>
      <c r="V38" s="67">
        <f>D38*3*8+D38*3.56*4</f>
        <v>39130.992</v>
      </c>
      <c r="W38" s="57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7">
        <f t="shared" si="6"/>
        <v>0</v>
      </c>
    </row>
    <row r="39" spans="1:38" ht="15.75">
      <c r="A39" s="63" t="s">
        <v>33</v>
      </c>
      <c r="B39" s="63" t="s">
        <v>32</v>
      </c>
      <c r="C39" s="63" t="s">
        <v>2</v>
      </c>
      <c r="D39" s="83">
        <v>610.3</v>
      </c>
      <c r="E39" s="63">
        <v>9306.5</v>
      </c>
      <c r="F39" s="63">
        <v>0</v>
      </c>
      <c r="G39" s="63">
        <v>0</v>
      </c>
      <c r="H39" s="63">
        <v>9306.5</v>
      </c>
      <c r="I39" s="63">
        <v>11027.34</v>
      </c>
      <c r="J39" s="66">
        <f t="shared" si="0"/>
        <v>2709.732</v>
      </c>
      <c r="K39" s="66">
        <f t="shared" si="1"/>
        <v>8715.083999999999</v>
      </c>
      <c r="L39" s="66">
        <f t="shared" si="2"/>
        <v>8641.847999999998</v>
      </c>
      <c r="M39" s="66">
        <f t="shared" si="3"/>
        <v>1904.136</v>
      </c>
      <c r="N39" s="66">
        <f t="shared" si="4"/>
        <v>439.41599999999994</v>
      </c>
      <c r="O39" s="66">
        <f t="shared" si="5"/>
        <v>1342.6599999999999</v>
      </c>
      <c r="P39" s="66"/>
      <c r="Q39" s="63"/>
      <c r="R39" s="63"/>
      <c r="S39" s="66">
        <f>D39*0.55*8+D39*0.59</f>
        <v>3045.397</v>
      </c>
      <c r="T39" s="67">
        <f>SUM(J39:S39)</f>
        <v>26798.272999999997</v>
      </c>
      <c r="U39" s="67"/>
      <c r="V39" s="67">
        <f>D39*3*8+D39*3.56*4</f>
        <v>23337.871999999996</v>
      </c>
      <c r="W39" s="57"/>
      <c r="X39" s="56"/>
      <c r="Y39" s="56"/>
      <c r="Z39" s="56">
        <v>2311</v>
      </c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67">
        <f t="shared" si="6"/>
        <v>2311</v>
      </c>
    </row>
    <row r="40" spans="1:38" ht="15.75">
      <c r="A40" s="63" t="s">
        <v>33</v>
      </c>
      <c r="B40" s="63" t="s">
        <v>35</v>
      </c>
      <c r="C40" s="63" t="s">
        <v>2</v>
      </c>
      <c r="D40" s="83">
        <v>1025.2</v>
      </c>
      <c r="E40" s="63">
        <v>43186.7</v>
      </c>
      <c r="F40" s="63">
        <v>-4061.53</v>
      </c>
      <c r="G40" s="63">
        <v>0</v>
      </c>
      <c r="H40" s="63">
        <v>39125.17</v>
      </c>
      <c r="I40" s="63">
        <v>14921.14</v>
      </c>
      <c r="J40" s="66">
        <f t="shared" si="0"/>
        <v>4551.888</v>
      </c>
      <c r="K40" s="66">
        <f t="shared" si="1"/>
        <v>14639.856</v>
      </c>
      <c r="L40" s="66">
        <f t="shared" si="2"/>
        <v>14516.831999999999</v>
      </c>
      <c r="M40" s="66">
        <f t="shared" si="3"/>
        <v>3198.6240000000003</v>
      </c>
      <c r="N40" s="66">
        <f t="shared" si="4"/>
        <v>738.144</v>
      </c>
      <c r="O40" s="66">
        <f t="shared" si="5"/>
        <v>2255.44</v>
      </c>
      <c r="P40" s="66"/>
      <c r="Q40" s="63"/>
      <c r="R40" s="63"/>
      <c r="S40" s="66">
        <f>D40*0.55*8+D40*0.59</f>
        <v>5115.748000000001</v>
      </c>
      <c r="T40" s="67">
        <f>SUM(J40:S40)</f>
        <v>45016.53200000001</v>
      </c>
      <c r="U40" s="67"/>
      <c r="V40" s="67">
        <f>D40*3*8+D40*3.56*4</f>
        <v>39203.648</v>
      </c>
      <c r="W40" s="57"/>
      <c r="X40" s="56"/>
      <c r="Y40" s="56"/>
      <c r="Z40" s="56"/>
      <c r="AA40" s="56"/>
      <c r="AB40" s="56"/>
      <c r="AC40" s="56">
        <v>16022</v>
      </c>
      <c r="AD40" s="56"/>
      <c r="AE40" s="56"/>
      <c r="AF40" s="56"/>
      <c r="AG40" s="56"/>
      <c r="AH40" s="56"/>
      <c r="AI40" s="56"/>
      <c r="AJ40" s="56"/>
      <c r="AK40" s="56"/>
      <c r="AL40" s="67">
        <f t="shared" si="6"/>
        <v>16022</v>
      </c>
    </row>
    <row r="41" spans="1:38" ht="15.75">
      <c r="A41" s="63" t="s">
        <v>33</v>
      </c>
      <c r="B41" s="63" t="s">
        <v>36</v>
      </c>
      <c r="C41" s="63" t="s">
        <v>2</v>
      </c>
      <c r="D41" s="83">
        <v>1032.3</v>
      </c>
      <c r="E41" s="63">
        <v>13777.1</v>
      </c>
      <c r="F41" s="63">
        <v>-1362.08</v>
      </c>
      <c r="G41" s="63">
        <v>0</v>
      </c>
      <c r="H41" s="63">
        <v>12415.02</v>
      </c>
      <c r="I41" s="63">
        <v>11400.18</v>
      </c>
      <c r="J41" s="66">
        <f t="shared" si="0"/>
        <v>4583.412</v>
      </c>
      <c r="K41" s="66">
        <f t="shared" si="1"/>
        <v>14741.243999999999</v>
      </c>
      <c r="L41" s="66">
        <f t="shared" si="2"/>
        <v>14617.367999999999</v>
      </c>
      <c r="M41" s="66">
        <f t="shared" si="3"/>
        <v>3220.7760000000003</v>
      </c>
      <c r="N41" s="66">
        <f t="shared" si="4"/>
        <v>743.256</v>
      </c>
      <c r="O41" s="66">
        <f t="shared" si="5"/>
        <v>2271.06</v>
      </c>
      <c r="P41" s="66"/>
      <c r="Q41" s="63"/>
      <c r="R41" s="63"/>
      <c r="S41" s="66">
        <f>D41*0.55*8+D41*0.59</f>
        <v>5151.177</v>
      </c>
      <c r="T41" s="67">
        <f>SUM(J41:S41)</f>
        <v>45328.29299999999</v>
      </c>
      <c r="U41" s="67"/>
      <c r="V41" s="67">
        <f>D41*3*8+D41*3.56*4</f>
        <v>39475.151999999995</v>
      </c>
      <c r="W41" s="57"/>
      <c r="X41" s="56"/>
      <c r="Y41" s="56"/>
      <c r="Z41" s="56"/>
      <c r="AA41" s="56"/>
      <c r="AB41" s="56"/>
      <c r="AC41" s="56">
        <v>16022</v>
      </c>
      <c r="AD41" s="56"/>
      <c r="AE41" s="56"/>
      <c r="AF41" s="56"/>
      <c r="AG41" s="56"/>
      <c r="AH41" s="56"/>
      <c r="AI41" s="56"/>
      <c r="AJ41" s="56"/>
      <c r="AK41" s="56"/>
      <c r="AL41" s="67">
        <f t="shared" si="6"/>
        <v>16022</v>
      </c>
    </row>
    <row r="42" spans="1:38" ht="15.75">
      <c r="A42" s="63" t="s">
        <v>33</v>
      </c>
      <c r="B42" s="63" t="s">
        <v>37</v>
      </c>
      <c r="C42" s="63" t="s">
        <v>2</v>
      </c>
      <c r="D42" s="83">
        <v>832.3</v>
      </c>
      <c r="E42" s="63">
        <v>53487.2</v>
      </c>
      <c r="F42" s="63">
        <v>0</v>
      </c>
      <c r="G42" s="63">
        <v>0</v>
      </c>
      <c r="H42" s="63">
        <v>53487.2</v>
      </c>
      <c r="I42" s="63">
        <v>48364.65</v>
      </c>
      <c r="J42" s="66">
        <f t="shared" si="0"/>
        <v>3695.412</v>
      </c>
      <c r="K42" s="66">
        <f t="shared" si="1"/>
        <v>11885.243999999999</v>
      </c>
      <c r="L42" s="66">
        <f t="shared" si="2"/>
        <v>11785.367999999999</v>
      </c>
      <c r="M42" s="66">
        <f t="shared" si="3"/>
        <v>2596.776</v>
      </c>
      <c r="N42" s="66">
        <f t="shared" si="4"/>
        <v>599.256</v>
      </c>
      <c r="O42" s="66">
        <f t="shared" si="5"/>
        <v>1831.06</v>
      </c>
      <c r="P42" s="66">
        <v>1232.64</v>
      </c>
      <c r="Q42" s="63"/>
      <c r="R42" s="63">
        <v>18550</v>
      </c>
      <c r="S42" s="66">
        <f>D42*0.55*8+D42*0.59</f>
        <v>4153.177</v>
      </c>
      <c r="T42" s="67">
        <f>SUM(J42:S42)</f>
        <v>56328.933000000005</v>
      </c>
      <c r="U42" s="67"/>
      <c r="V42" s="67">
        <f>D42*3*8+D42*3.56*4</f>
        <v>31827.151999999995</v>
      </c>
      <c r="W42" s="57"/>
      <c r="X42" s="56">
        <v>2806</v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67">
        <f t="shared" si="6"/>
        <v>2806</v>
      </c>
    </row>
    <row r="43" spans="1:38" ht="15.75">
      <c r="A43" s="63" t="s">
        <v>33</v>
      </c>
      <c r="B43" s="63" t="s">
        <v>38</v>
      </c>
      <c r="C43" s="63" t="s">
        <v>2</v>
      </c>
      <c r="D43" s="83">
        <v>618.4</v>
      </c>
      <c r="E43" s="63">
        <v>41834.52</v>
      </c>
      <c r="F43" s="63">
        <v>0</v>
      </c>
      <c r="G43" s="63">
        <v>507.6</v>
      </c>
      <c r="H43" s="63">
        <v>41326.92</v>
      </c>
      <c r="I43" s="63">
        <v>37114.42</v>
      </c>
      <c r="J43" s="66">
        <f t="shared" si="0"/>
        <v>2745.696</v>
      </c>
      <c r="K43" s="66">
        <f t="shared" si="1"/>
        <v>8830.752</v>
      </c>
      <c r="L43" s="66">
        <f t="shared" si="2"/>
        <v>8756.544</v>
      </c>
      <c r="M43" s="66">
        <f t="shared" si="3"/>
        <v>1929.408</v>
      </c>
      <c r="N43" s="66">
        <f t="shared" si="4"/>
        <v>445.248</v>
      </c>
      <c r="O43" s="66">
        <f t="shared" si="5"/>
        <v>1360.48</v>
      </c>
      <c r="P43" s="66">
        <v>443.04</v>
      </c>
      <c r="Q43" s="63"/>
      <c r="R43" s="63">
        <v>14175</v>
      </c>
      <c r="S43" s="66">
        <f>D43*0.55*8+D43*0.59</f>
        <v>3085.816</v>
      </c>
      <c r="T43" s="67">
        <f>SUM(J43:S43)</f>
        <v>41771.984</v>
      </c>
      <c r="U43" s="67"/>
      <c r="V43" s="67">
        <f>D43*3*8+D43*3.56*4</f>
        <v>23647.615999999998</v>
      </c>
      <c r="W43" s="57">
        <v>59606</v>
      </c>
      <c r="X43" s="56">
        <v>37861</v>
      </c>
      <c r="Y43" s="56"/>
      <c r="Z43" s="56"/>
      <c r="AA43" s="56">
        <v>803</v>
      </c>
      <c r="AB43" s="56"/>
      <c r="AC43" s="56">
        <v>695</v>
      </c>
      <c r="AD43" s="56"/>
      <c r="AE43" s="56"/>
      <c r="AF43" s="56">
        <v>3232</v>
      </c>
      <c r="AG43" s="56"/>
      <c r="AH43" s="56"/>
      <c r="AI43" s="56"/>
      <c r="AJ43" s="56"/>
      <c r="AK43" s="56"/>
      <c r="AL43" s="67">
        <f t="shared" si="6"/>
        <v>102197</v>
      </c>
    </row>
    <row r="44" spans="1:38" ht="15.75">
      <c r="A44" s="63" t="s">
        <v>33</v>
      </c>
      <c r="B44" s="63" t="s">
        <v>39</v>
      </c>
      <c r="C44" s="63" t="s">
        <v>2</v>
      </c>
      <c r="D44" s="83">
        <v>849.4</v>
      </c>
      <c r="E44" s="63">
        <v>59184.2</v>
      </c>
      <c r="F44" s="63">
        <v>0</v>
      </c>
      <c r="G44" s="63">
        <v>0</v>
      </c>
      <c r="H44" s="63">
        <v>59184.2</v>
      </c>
      <c r="I44" s="63">
        <v>58867.82</v>
      </c>
      <c r="J44" s="66">
        <f t="shared" si="0"/>
        <v>3771.3360000000002</v>
      </c>
      <c r="K44" s="66">
        <f t="shared" si="1"/>
        <v>12129.431999999999</v>
      </c>
      <c r="L44" s="66">
        <f t="shared" si="2"/>
        <v>12027.503999999999</v>
      </c>
      <c r="M44" s="66">
        <f t="shared" si="3"/>
        <v>2650.1279999999997</v>
      </c>
      <c r="N44" s="66">
        <f t="shared" si="4"/>
        <v>611.568</v>
      </c>
      <c r="O44" s="66">
        <f t="shared" si="5"/>
        <v>1868.6799999999998</v>
      </c>
      <c r="P44" s="66">
        <v>173.28</v>
      </c>
      <c r="Q44" s="63">
        <v>2009.76</v>
      </c>
      <c r="R44" s="63">
        <v>19925</v>
      </c>
      <c r="S44" s="66">
        <f>D44*0.55*8+D44*0.59</f>
        <v>4238.506</v>
      </c>
      <c r="T44" s="67">
        <f>SUM(J44:S44)</f>
        <v>59405.193999999996</v>
      </c>
      <c r="U44" s="67"/>
      <c r="V44" s="67">
        <f>D44*3*8+D44*3.56*4</f>
        <v>32481.055999999997</v>
      </c>
      <c r="W44" s="57">
        <v>16710</v>
      </c>
      <c r="X44" s="56">
        <v>2806</v>
      </c>
      <c r="Y44" s="56"/>
      <c r="Z44" s="56">
        <v>174</v>
      </c>
      <c r="AA44" s="56"/>
      <c r="AB44" s="56"/>
      <c r="AC44" s="56"/>
      <c r="AD44" s="56"/>
      <c r="AE44" s="56"/>
      <c r="AF44" s="56"/>
      <c r="AG44" s="56"/>
      <c r="AH44" s="56">
        <v>2098</v>
      </c>
      <c r="AI44" s="56"/>
      <c r="AJ44" s="56"/>
      <c r="AK44" s="56"/>
      <c r="AL44" s="67">
        <f t="shared" si="6"/>
        <v>21788</v>
      </c>
    </row>
    <row r="45" spans="1:38" ht="15.75">
      <c r="A45" s="63" t="s">
        <v>33</v>
      </c>
      <c r="B45" s="63" t="s">
        <v>40</v>
      </c>
      <c r="C45" s="63" t="s">
        <v>2</v>
      </c>
      <c r="D45" s="83">
        <v>952.6</v>
      </c>
      <c r="E45" s="63">
        <v>60751.6</v>
      </c>
      <c r="F45" s="63">
        <v>0</v>
      </c>
      <c r="G45" s="63">
        <v>0</v>
      </c>
      <c r="H45" s="63">
        <v>60751.6</v>
      </c>
      <c r="I45" s="63">
        <v>60313.82</v>
      </c>
      <c r="J45" s="66">
        <f t="shared" si="0"/>
        <v>4229.544</v>
      </c>
      <c r="K45" s="66">
        <f t="shared" si="1"/>
        <v>13603.128</v>
      </c>
      <c r="L45" s="66">
        <f t="shared" si="2"/>
        <v>13488.815999999999</v>
      </c>
      <c r="M45" s="66">
        <f t="shared" si="3"/>
        <v>2972.112</v>
      </c>
      <c r="N45" s="66">
        <f t="shared" si="4"/>
        <v>685.872</v>
      </c>
      <c r="O45" s="66">
        <f t="shared" si="5"/>
        <v>2095.72</v>
      </c>
      <c r="P45" s="66">
        <v>1232.64</v>
      </c>
      <c r="Q45" s="63"/>
      <c r="R45" s="63"/>
      <c r="S45" s="66">
        <f>D45*0.55*8+D45*0.59</f>
        <v>4753.474</v>
      </c>
      <c r="T45" s="67">
        <f>SUM(J45:S45)</f>
        <v>43061.306000000004</v>
      </c>
      <c r="U45" s="67"/>
      <c r="V45" s="67">
        <f>D45*3*8+D45*3.56*4</f>
        <v>36427.424</v>
      </c>
      <c r="W45" s="57"/>
      <c r="X45" s="56"/>
      <c r="Y45" s="56"/>
      <c r="Z45" s="56">
        <v>1325</v>
      </c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67">
        <f t="shared" si="6"/>
        <v>1325</v>
      </c>
    </row>
    <row r="46" spans="1:38" ht="15.75">
      <c r="A46" s="63" t="s">
        <v>33</v>
      </c>
      <c r="B46" s="63" t="s">
        <v>9</v>
      </c>
      <c r="C46" s="63" t="s">
        <v>2</v>
      </c>
      <c r="D46" s="83">
        <v>597.2</v>
      </c>
      <c r="E46" s="63">
        <v>32626.8</v>
      </c>
      <c r="F46" s="63">
        <v>0</v>
      </c>
      <c r="G46" s="63">
        <v>0</v>
      </c>
      <c r="H46" s="63">
        <v>32626.8</v>
      </c>
      <c r="I46" s="63">
        <v>32129.42</v>
      </c>
      <c r="J46" s="66">
        <f t="shared" si="0"/>
        <v>2651.568</v>
      </c>
      <c r="K46" s="66">
        <f t="shared" si="1"/>
        <v>8528.016</v>
      </c>
      <c r="L46" s="66">
        <f t="shared" si="2"/>
        <v>8456.352</v>
      </c>
      <c r="M46" s="66">
        <f t="shared" si="3"/>
        <v>1863.2640000000001</v>
      </c>
      <c r="N46" s="66">
        <f t="shared" si="4"/>
        <v>429.98400000000004</v>
      </c>
      <c r="O46" s="66">
        <f t="shared" si="5"/>
        <v>1313.8400000000001</v>
      </c>
      <c r="P46" s="66">
        <v>443.04</v>
      </c>
      <c r="Q46" s="63">
        <v>2009.76</v>
      </c>
      <c r="R46" s="63">
        <v>14500</v>
      </c>
      <c r="S46" s="66">
        <f>D46*0.55*8+D46*0.59</f>
        <v>2980.0280000000002</v>
      </c>
      <c r="T46" s="67">
        <f>SUM(J46:S46)</f>
        <v>43175.852</v>
      </c>
      <c r="U46" s="67"/>
      <c r="V46" s="67">
        <f>D46*3*8+D46*3.56*4</f>
        <v>22836.928</v>
      </c>
      <c r="W46" s="57">
        <v>22283</v>
      </c>
      <c r="X46" s="56">
        <v>628</v>
      </c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67">
        <f t="shared" si="6"/>
        <v>22911</v>
      </c>
    </row>
    <row r="47" spans="1:38" ht="15.75">
      <c r="A47" s="63" t="s">
        <v>33</v>
      </c>
      <c r="B47" s="63" t="s">
        <v>11</v>
      </c>
      <c r="C47" s="63" t="s">
        <v>2</v>
      </c>
      <c r="D47" s="83">
        <v>713.7</v>
      </c>
      <c r="E47" s="63">
        <v>45001.28</v>
      </c>
      <c r="F47" s="63">
        <v>0</v>
      </c>
      <c r="G47" s="63">
        <v>0</v>
      </c>
      <c r="H47" s="63">
        <v>45001.28</v>
      </c>
      <c r="I47" s="63">
        <v>42661.06</v>
      </c>
      <c r="J47" s="66">
        <f t="shared" si="0"/>
        <v>3168.8280000000004</v>
      </c>
      <c r="K47" s="66">
        <f t="shared" si="1"/>
        <v>10191.636</v>
      </c>
      <c r="L47" s="66">
        <f t="shared" si="2"/>
        <v>10105.992</v>
      </c>
      <c r="M47" s="66">
        <f t="shared" si="3"/>
        <v>2226.744</v>
      </c>
      <c r="N47" s="66">
        <f t="shared" si="4"/>
        <v>513.864</v>
      </c>
      <c r="O47" s="66">
        <f t="shared" si="5"/>
        <v>1570.14</v>
      </c>
      <c r="P47" s="66">
        <v>924.48</v>
      </c>
      <c r="Q47" s="63">
        <v>2847.16</v>
      </c>
      <c r="R47" s="63"/>
      <c r="S47" s="66">
        <f>D47*0.55*8+D47*0.59</f>
        <v>3561.3630000000007</v>
      </c>
      <c r="T47" s="67">
        <f>SUM(J47:S47)</f>
        <v>35110.206999999995</v>
      </c>
      <c r="U47" s="67"/>
      <c r="V47" s="67">
        <f>D47*3*8+D47*3.56*4</f>
        <v>27291.888000000006</v>
      </c>
      <c r="W47" s="57"/>
      <c r="X47" s="56">
        <v>628</v>
      </c>
      <c r="Y47" s="56"/>
      <c r="Z47" s="56">
        <v>883</v>
      </c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67">
        <f t="shared" si="6"/>
        <v>1511</v>
      </c>
    </row>
    <row r="48" spans="1:38" ht="15.75">
      <c r="A48" s="63" t="s">
        <v>33</v>
      </c>
      <c r="B48" s="63" t="s">
        <v>12</v>
      </c>
      <c r="C48" s="63" t="s">
        <v>2</v>
      </c>
      <c r="D48" s="83">
        <v>3113.8</v>
      </c>
      <c r="E48" s="63">
        <v>185264.52</v>
      </c>
      <c r="F48" s="63">
        <v>-8272.54</v>
      </c>
      <c r="G48" s="63">
        <v>1270</v>
      </c>
      <c r="H48" s="63">
        <v>175721.98</v>
      </c>
      <c r="I48" s="63">
        <v>174938.87</v>
      </c>
      <c r="J48" s="66">
        <f t="shared" si="0"/>
        <v>13825.272</v>
      </c>
      <c r="K48" s="66">
        <f t="shared" si="1"/>
        <v>44465.064</v>
      </c>
      <c r="L48" s="66">
        <f t="shared" si="2"/>
        <v>44091.408</v>
      </c>
      <c r="M48" s="66">
        <f t="shared" si="3"/>
        <v>9715.056</v>
      </c>
      <c r="N48" s="66">
        <f t="shared" si="4"/>
        <v>2241.936</v>
      </c>
      <c r="O48" s="66">
        <f t="shared" si="5"/>
        <v>6850.360000000001</v>
      </c>
      <c r="P48" s="66">
        <v>981.92</v>
      </c>
      <c r="Q48" s="63">
        <v>11388.64</v>
      </c>
      <c r="R48" s="63"/>
      <c r="S48" s="66">
        <f>D48*0.55*8+D48*0.59</f>
        <v>15537.862000000001</v>
      </c>
      <c r="T48" s="67">
        <f>SUM(J48:S48)</f>
        <v>149097.518</v>
      </c>
      <c r="U48" s="67">
        <f>D48*1.34*8+D48*1.45*4</f>
        <v>51439.976</v>
      </c>
      <c r="V48" s="67">
        <f>D48*3*8+D48*3.56*4</f>
        <v>119071.71200000001</v>
      </c>
      <c r="W48" s="57">
        <v>60826</v>
      </c>
      <c r="X48" s="56"/>
      <c r="Y48" s="56"/>
      <c r="Z48" s="56">
        <v>1741</v>
      </c>
      <c r="AA48" s="56">
        <v>10893</v>
      </c>
      <c r="AB48" s="56"/>
      <c r="AC48" s="56">
        <v>1678</v>
      </c>
      <c r="AD48" s="56"/>
      <c r="AE48" s="56"/>
      <c r="AF48" s="56">
        <v>3232</v>
      </c>
      <c r="AG48" s="56"/>
      <c r="AH48" s="56"/>
      <c r="AI48" s="56">
        <v>2520</v>
      </c>
      <c r="AJ48" s="56">
        <v>1684</v>
      </c>
      <c r="AK48" s="56"/>
      <c r="AL48" s="67">
        <f t="shared" si="6"/>
        <v>82574</v>
      </c>
    </row>
    <row r="49" spans="1:38" ht="15.75">
      <c r="A49" s="63" t="s">
        <v>33</v>
      </c>
      <c r="B49" s="63" t="s">
        <v>41</v>
      </c>
      <c r="C49" s="63" t="s">
        <v>2</v>
      </c>
      <c r="D49" s="83">
        <v>722.1</v>
      </c>
      <c r="E49" s="63">
        <v>41289.68</v>
      </c>
      <c r="F49" s="63">
        <v>0</v>
      </c>
      <c r="G49" s="63">
        <v>0</v>
      </c>
      <c r="H49" s="63">
        <v>41289.68</v>
      </c>
      <c r="I49" s="63">
        <v>35039.91</v>
      </c>
      <c r="J49" s="66">
        <f t="shared" si="0"/>
        <v>3206.1240000000003</v>
      </c>
      <c r="K49" s="66">
        <f t="shared" si="1"/>
        <v>10311.588</v>
      </c>
      <c r="L49" s="66">
        <f t="shared" si="2"/>
        <v>10224.936</v>
      </c>
      <c r="M49" s="66">
        <f t="shared" si="3"/>
        <v>2252.952</v>
      </c>
      <c r="N49" s="66">
        <f t="shared" si="4"/>
        <v>519.912</v>
      </c>
      <c r="O49" s="66">
        <f t="shared" si="5"/>
        <v>1588.6200000000001</v>
      </c>
      <c r="P49" s="66">
        <v>924.48</v>
      </c>
      <c r="Q49" s="63">
        <v>2847.16</v>
      </c>
      <c r="R49" s="63"/>
      <c r="S49" s="66">
        <f>D49*0.55*8+D49*0.59</f>
        <v>3603.2790000000005</v>
      </c>
      <c r="T49" s="67">
        <f>SUM(J49:S49)</f>
        <v>35479.051</v>
      </c>
      <c r="U49" s="67"/>
      <c r="V49" s="67">
        <f>D49*3*8+D49*3.56*4</f>
        <v>27613.104</v>
      </c>
      <c r="W49" s="57"/>
      <c r="X49" s="56"/>
      <c r="Y49" s="56"/>
      <c r="Z49" s="56"/>
      <c r="AA49" s="56">
        <v>62200</v>
      </c>
      <c r="AB49" s="56"/>
      <c r="AC49" s="56"/>
      <c r="AD49" s="56"/>
      <c r="AE49" s="56"/>
      <c r="AF49" s="56">
        <v>5542</v>
      </c>
      <c r="AG49" s="56"/>
      <c r="AH49" s="56"/>
      <c r="AI49" s="56"/>
      <c r="AJ49" s="56">
        <v>996</v>
      </c>
      <c r="AK49" s="56"/>
      <c r="AL49" s="67">
        <f t="shared" si="6"/>
        <v>68738</v>
      </c>
    </row>
    <row r="50" spans="1:38" ht="15.75">
      <c r="A50" s="63" t="s">
        <v>33</v>
      </c>
      <c r="B50" s="63" t="s">
        <v>42</v>
      </c>
      <c r="C50" s="63" t="s">
        <v>2</v>
      </c>
      <c r="D50" s="83">
        <v>1254.7</v>
      </c>
      <c r="E50" s="63">
        <v>70719.54</v>
      </c>
      <c r="F50" s="63">
        <v>0</v>
      </c>
      <c r="G50" s="63">
        <v>0</v>
      </c>
      <c r="H50" s="63">
        <v>70719.54</v>
      </c>
      <c r="I50" s="63">
        <v>72367.97</v>
      </c>
      <c r="J50" s="66">
        <f t="shared" si="0"/>
        <v>5570.868</v>
      </c>
      <c r="K50" s="66">
        <f t="shared" si="1"/>
        <v>17917.116</v>
      </c>
      <c r="L50" s="66">
        <f t="shared" si="2"/>
        <v>17766.552</v>
      </c>
      <c r="M50" s="66">
        <f t="shared" si="3"/>
        <v>3914.6640000000007</v>
      </c>
      <c r="N50" s="66">
        <f t="shared" si="4"/>
        <v>903.384</v>
      </c>
      <c r="O50" s="66">
        <f t="shared" si="5"/>
        <v>2760.34</v>
      </c>
      <c r="P50" s="66">
        <v>1643.52</v>
      </c>
      <c r="Q50" s="63">
        <v>5359.36</v>
      </c>
      <c r="R50" s="63">
        <v>14350</v>
      </c>
      <c r="S50" s="66">
        <f>D50*0.55*8+D50*0.59</f>
        <v>6260.953</v>
      </c>
      <c r="T50" s="67">
        <f>SUM(J50:S50)</f>
        <v>76446.757</v>
      </c>
      <c r="U50" s="67">
        <f>D50*1.34*8+D50*1.45*4</f>
        <v>20727.644</v>
      </c>
      <c r="V50" s="67">
        <f>D50*3*8+D50*3.56*4</f>
        <v>47979.728</v>
      </c>
      <c r="W50" s="57"/>
      <c r="X50" s="56"/>
      <c r="Y50" s="56"/>
      <c r="Z50" s="56"/>
      <c r="AA50" s="56"/>
      <c r="AB50" s="56">
        <v>11595</v>
      </c>
      <c r="AC50" s="56">
        <v>3020</v>
      </c>
      <c r="AD50" s="56"/>
      <c r="AE50" s="56"/>
      <c r="AF50" s="56"/>
      <c r="AG50" s="56"/>
      <c r="AH50" s="56"/>
      <c r="AI50" s="56"/>
      <c r="AJ50" s="56"/>
      <c r="AK50" s="56"/>
      <c r="AL50" s="67">
        <f t="shared" si="6"/>
        <v>14615</v>
      </c>
    </row>
    <row r="51" spans="1:38" ht="15.75">
      <c r="A51" s="63" t="s">
        <v>33</v>
      </c>
      <c r="B51" s="63" t="s">
        <v>43</v>
      </c>
      <c r="C51" s="63" t="s">
        <v>2</v>
      </c>
      <c r="D51" s="83">
        <v>963.7</v>
      </c>
      <c r="E51" s="63">
        <v>54430.66</v>
      </c>
      <c r="F51" s="63">
        <v>0</v>
      </c>
      <c r="G51" s="63">
        <v>0</v>
      </c>
      <c r="H51" s="63">
        <v>54430.66</v>
      </c>
      <c r="I51" s="63">
        <v>49729.38</v>
      </c>
      <c r="J51" s="66">
        <f t="shared" si="0"/>
        <v>4278.828</v>
      </c>
      <c r="K51" s="66">
        <f t="shared" si="1"/>
        <v>13761.636000000002</v>
      </c>
      <c r="L51" s="66">
        <f t="shared" si="2"/>
        <v>13645.991999999998</v>
      </c>
      <c r="M51" s="66">
        <f t="shared" si="3"/>
        <v>3006.744</v>
      </c>
      <c r="N51" s="66">
        <f t="shared" si="4"/>
        <v>693.864</v>
      </c>
      <c r="O51" s="66">
        <f t="shared" si="5"/>
        <v>2120.1400000000003</v>
      </c>
      <c r="P51" s="66">
        <v>1232.64</v>
      </c>
      <c r="Q51" s="63"/>
      <c r="R51" s="63">
        <v>14175</v>
      </c>
      <c r="S51" s="66">
        <f>D51*0.55*8+D51*0.59</f>
        <v>4808.863</v>
      </c>
      <c r="T51" s="67">
        <f>SUM(J51:S51)</f>
        <v>57723.707</v>
      </c>
      <c r="U51" s="67"/>
      <c r="V51" s="67">
        <f>D51*3*8+D51*3.56*4</f>
        <v>36851.888000000006</v>
      </c>
      <c r="W51" s="57">
        <v>8951</v>
      </c>
      <c r="X51" s="56">
        <v>7427</v>
      </c>
      <c r="Y51" s="56"/>
      <c r="Z51" s="56"/>
      <c r="AA51" s="56"/>
      <c r="AB51" s="56"/>
      <c r="AC51" s="56">
        <v>815</v>
      </c>
      <c r="AD51" s="56"/>
      <c r="AE51" s="56"/>
      <c r="AF51" s="56"/>
      <c r="AG51" s="56"/>
      <c r="AH51" s="56"/>
      <c r="AI51" s="56"/>
      <c r="AJ51" s="56">
        <v>13918</v>
      </c>
      <c r="AK51" s="56"/>
      <c r="AL51" s="67">
        <f t="shared" si="6"/>
        <v>31111</v>
      </c>
    </row>
    <row r="52" spans="1:38" ht="15.75">
      <c r="A52" s="63" t="s">
        <v>33</v>
      </c>
      <c r="B52" s="63" t="s">
        <v>13</v>
      </c>
      <c r="C52" s="63" t="s">
        <v>2</v>
      </c>
      <c r="D52" s="83">
        <v>3165</v>
      </c>
      <c r="E52" s="63">
        <v>175338.99</v>
      </c>
      <c r="F52" s="63">
        <v>-739</v>
      </c>
      <c r="G52" s="63">
        <v>0</v>
      </c>
      <c r="H52" s="63">
        <v>174599.99</v>
      </c>
      <c r="I52" s="63">
        <v>169828.18</v>
      </c>
      <c r="J52" s="66">
        <f t="shared" si="0"/>
        <v>14052.599999999999</v>
      </c>
      <c r="K52" s="66">
        <f t="shared" si="1"/>
        <v>45196.2</v>
      </c>
      <c r="L52" s="66">
        <f t="shared" si="2"/>
        <v>44816.399999999994</v>
      </c>
      <c r="M52" s="66">
        <f t="shared" si="3"/>
        <v>9874.8</v>
      </c>
      <c r="N52" s="66">
        <f t="shared" si="4"/>
        <v>2278.8</v>
      </c>
      <c r="O52" s="66">
        <f t="shared" si="5"/>
        <v>6963</v>
      </c>
      <c r="P52" s="66">
        <v>1039.68</v>
      </c>
      <c r="Q52" s="63">
        <v>12058.56</v>
      </c>
      <c r="R52" s="63"/>
      <c r="S52" s="66">
        <f>D52*0.55*8+D52*0.59</f>
        <v>15793.350000000002</v>
      </c>
      <c r="T52" s="67">
        <f>SUM(J52:S52)</f>
        <v>152073.38999999998</v>
      </c>
      <c r="U52" s="67">
        <f>D52*1.34*8+D52*1.45*4</f>
        <v>52285.8</v>
      </c>
      <c r="V52" s="67">
        <f>D52*3*8+D52*3.56*4</f>
        <v>121029.6</v>
      </c>
      <c r="W52" s="57">
        <v>16864</v>
      </c>
      <c r="X52" s="56"/>
      <c r="Y52" s="56"/>
      <c r="Z52" s="56"/>
      <c r="AA52" s="56">
        <v>72407</v>
      </c>
      <c r="AB52" s="56">
        <v>64682</v>
      </c>
      <c r="AC52" s="56">
        <v>1678</v>
      </c>
      <c r="AD52" s="56"/>
      <c r="AE52" s="56"/>
      <c r="AF52" s="56">
        <v>1616</v>
      </c>
      <c r="AG52" s="56"/>
      <c r="AH52" s="56">
        <v>10454</v>
      </c>
      <c r="AI52" s="56"/>
      <c r="AJ52" s="56">
        <v>1095</v>
      </c>
      <c r="AK52" s="56"/>
      <c r="AL52" s="67">
        <f t="shared" si="6"/>
        <v>168796</v>
      </c>
    </row>
    <row r="53" spans="1:38" ht="15.75">
      <c r="A53" s="63" t="s">
        <v>33</v>
      </c>
      <c r="B53" s="63" t="s">
        <v>16</v>
      </c>
      <c r="C53" s="63" t="s">
        <v>2</v>
      </c>
      <c r="D53" s="83">
        <v>2786.5</v>
      </c>
      <c r="E53" s="63">
        <v>162495.36</v>
      </c>
      <c r="F53" s="63">
        <v>0</v>
      </c>
      <c r="G53" s="63">
        <v>0</v>
      </c>
      <c r="H53" s="63">
        <v>162495.36</v>
      </c>
      <c r="I53" s="63">
        <v>156315.02</v>
      </c>
      <c r="J53" s="66">
        <f t="shared" si="0"/>
        <v>12372.060000000001</v>
      </c>
      <c r="K53" s="66">
        <f t="shared" si="1"/>
        <v>39791.22</v>
      </c>
      <c r="L53" s="66">
        <f t="shared" si="2"/>
        <v>39456.84</v>
      </c>
      <c r="M53" s="66">
        <f t="shared" si="3"/>
        <v>8693.880000000001</v>
      </c>
      <c r="N53" s="66">
        <f t="shared" si="4"/>
        <v>2006.28</v>
      </c>
      <c r="O53" s="66">
        <f t="shared" si="5"/>
        <v>6130.3</v>
      </c>
      <c r="P53" s="66">
        <v>1420.2</v>
      </c>
      <c r="Q53" s="66">
        <v>10048.8</v>
      </c>
      <c r="R53" s="63"/>
      <c r="S53" s="66">
        <f>D53*0.55*8+D53*0.59</f>
        <v>13904.635</v>
      </c>
      <c r="T53" s="67">
        <f>SUM(J53:S53)</f>
        <v>133824.215</v>
      </c>
      <c r="U53" s="67">
        <f>D53*1.34*8+D53*1.45*4</f>
        <v>46032.98</v>
      </c>
      <c r="V53" s="67">
        <f>D53*3*8+D53*3.56*4</f>
        <v>106555.76000000001</v>
      </c>
      <c r="W53" s="57"/>
      <c r="X53" s="56"/>
      <c r="Y53" s="56"/>
      <c r="Z53" s="56">
        <v>6107</v>
      </c>
      <c r="AA53" s="56"/>
      <c r="AB53" s="56"/>
      <c r="AC53" s="56">
        <v>2465</v>
      </c>
      <c r="AD53" s="56"/>
      <c r="AE53" s="56"/>
      <c r="AF53" s="56">
        <v>2494</v>
      </c>
      <c r="AG53" s="56"/>
      <c r="AH53" s="56">
        <v>1174</v>
      </c>
      <c r="AI53" s="56"/>
      <c r="AJ53" s="56"/>
      <c r="AK53" s="56"/>
      <c r="AL53" s="67">
        <f t="shared" si="6"/>
        <v>12240</v>
      </c>
    </row>
    <row r="54" spans="1:38" ht="15.75">
      <c r="A54" s="63" t="s">
        <v>33</v>
      </c>
      <c r="B54" s="63" t="s">
        <v>44</v>
      </c>
      <c r="C54" s="63" t="s">
        <v>2</v>
      </c>
      <c r="D54" s="83">
        <v>618.1</v>
      </c>
      <c r="E54" s="63">
        <v>42019.04</v>
      </c>
      <c r="F54" s="63">
        <v>0</v>
      </c>
      <c r="G54" s="63">
        <v>0</v>
      </c>
      <c r="H54" s="63">
        <v>42019.04</v>
      </c>
      <c r="I54" s="63">
        <v>40013.16</v>
      </c>
      <c r="J54" s="66">
        <f t="shared" si="0"/>
        <v>2744.364</v>
      </c>
      <c r="K54" s="66">
        <f t="shared" si="1"/>
        <v>8826.468</v>
      </c>
      <c r="L54" s="66">
        <f t="shared" si="2"/>
        <v>8752.295999999998</v>
      </c>
      <c r="M54" s="66">
        <f t="shared" si="3"/>
        <v>1928.4720000000002</v>
      </c>
      <c r="N54" s="66">
        <f t="shared" si="4"/>
        <v>445.032</v>
      </c>
      <c r="O54" s="66">
        <f t="shared" si="5"/>
        <v>1359.82</v>
      </c>
      <c r="P54" s="66">
        <v>443.04</v>
      </c>
      <c r="Q54" s="63">
        <v>2009.76</v>
      </c>
      <c r="R54" s="63">
        <v>15000</v>
      </c>
      <c r="S54" s="66">
        <f>D54*0.55*8+D54*0.59</f>
        <v>3084.3190000000004</v>
      </c>
      <c r="T54" s="67">
        <f>SUM(J54:S54)</f>
        <v>44593.570999999996</v>
      </c>
      <c r="U54" s="67"/>
      <c r="V54" s="67">
        <f>D54*3*8+D54*3.56*4</f>
        <v>23636.144</v>
      </c>
      <c r="W54" s="57"/>
      <c r="X54" s="56"/>
      <c r="Y54" s="56"/>
      <c r="Z54" s="56"/>
      <c r="AA54" s="56">
        <v>57360</v>
      </c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67">
        <f t="shared" si="6"/>
        <v>57360</v>
      </c>
    </row>
    <row r="55" spans="1:38" ht="15.75">
      <c r="A55" s="63" t="s">
        <v>45</v>
      </c>
      <c r="B55" s="63" t="s">
        <v>35</v>
      </c>
      <c r="C55" s="63" t="s">
        <v>2</v>
      </c>
      <c r="D55" s="83">
        <v>458.7</v>
      </c>
      <c r="E55" s="63">
        <v>7852.36</v>
      </c>
      <c r="F55" s="63">
        <v>0</v>
      </c>
      <c r="G55" s="63">
        <v>0</v>
      </c>
      <c r="H55" s="63">
        <v>7852.36</v>
      </c>
      <c r="I55" s="63">
        <v>8106.65</v>
      </c>
      <c r="J55" s="66">
        <f t="shared" si="0"/>
        <v>2036.6279999999997</v>
      </c>
      <c r="K55" s="66">
        <f t="shared" si="1"/>
        <v>6550.235999999999</v>
      </c>
      <c r="L55" s="66">
        <f t="shared" si="2"/>
        <v>6495.191999999999</v>
      </c>
      <c r="M55" s="66">
        <f t="shared" si="3"/>
        <v>1431.144</v>
      </c>
      <c r="N55" s="66">
        <f t="shared" si="4"/>
        <v>330.264</v>
      </c>
      <c r="O55" s="66">
        <f t="shared" si="5"/>
        <v>1009.1399999999999</v>
      </c>
      <c r="P55" s="66"/>
      <c r="Q55" s="63"/>
      <c r="R55" s="63"/>
      <c r="S55" s="66">
        <f>D55*0.55*8+D55*0.59</f>
        <v>2288.913</v>
      </c>
      <c r="T55" s="67">
        <f>SUM(J55:S55)</f>
        <v>20141.516999999996</v>
      </c>
      <c r="U55" s="67"/>
      <c r="V55" s="67">
        <f>D55*3*8+D55*3.56*4</f>
        <v>17540.688</v>
      </c>
      <c r="W55" s="57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67">
        <f t="shared" si="6"/>
        <v>0</v>
      </c>
    </row>
    <row r="56" spans="1:38" ht="15.75">
      <c r="A56" s="63" t="s">
        <v>45</v>
      </c>
      <c r="B56" s="63" t="s">
        <v>17</v>
      </c>
      <c r="C56" s="63" t="s">
        <v>2</v>
      </c>
      <c r="D56" s="83">
        <v>638.7</v>
      </c>
      <c r="E56" s="63">
        <v>41598</v>
      </c>
      <c r="F56" s="63">
        <v>0</v>
      </c>
      <c r="G56" s="63">
        <v>0</v>
      </c>
      <c r="H56" s="63">
        <v>41598</v>
      </c>
      <c r="I56" s="63">
        <v>41584.85</v>
      </c>
      <c r="J56" s="66">
        <f t="shared" si="0"/>
        <v>2835.8280000000004</v>
      </c>
      <c r="K56" s="66">
        <f t="shared" si="1"/>
        <v>9120.636</v>
      </c>
      <c r="L56" s="66">
        <f t="shared" si="2"/>
        <v>9043.992</v>
      </c>
      <c r="M56" s="66">
        <f t="shared" si="3"/>
        <v>1992.7440000000001</v>
      </c>
      <c r="N56" s="66">
        <f t="shared" si="4"/>
        <v>459.86400000000003</v>
      </c>
      <c r="O56" s="66">
        <f t="shared" si="5"/>
        <v>1405.14</v>
      </c>
      <c r="P56" s="66">
        <v>443.04</v>
      </c>
      <c r="Q56" s="63">
        <v>2009.76</v>
      </c>
      <c r="R56" s="63"/>
      <c r="S56" s="66">
        <f>D56*0.55*8+D56*0.59</f>
        <v>3187.1130000000003</v>
      </c>
      <c r="T56" s="67">
        <f>SUM(J56:S56)</f>
        <v>30498.117</v>
      </c>
      <c r="U56" s="67"/>
      <c r="V56" s="67">
        <f>D56*3*8+D56*3.56*4</f>
        <v>24423.888000000003</v>
      </c>
      <c r="W56" s="57">
        <v>2882</v>
      </c>
      <c r="X56" s="56"/>
      <c r="Y56" s="56"/>
      <c r="Z56" s="56">
        <v>4564</v>
      </c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67">
        <f t="shared" si="6"/>
        <v>7446</v>
      </c>
    </row>
    <row r="57" spans="1:38" ht="15.75">
      <c r="A57" s="63" t="s">
        <v>45</v>
      </c>
      <c r="B57" s="63" t="s">
        <v>91</v>
      </c>
      <c r="C57" s="63"/>
      <c r="D57" s="83">
        <v>501.6</v>
      </c>
      <c r="E57" s="63"/>
      <c r="F57" s="63"/>
      <c r="G57" s="63"/>
      <c r="H57" s="63"/>
      <c r="I57" s="63"/>
      <c r="J57" s="66">
        <f>D57*8*0.36+D57*0.39*4</f>
        <v>2227.1040000000003</v>
      </c>
      <c r="K57" s="66">
        <f>D57*1.19*12</f>
        <v>7162.848</v>
      </c>
      <c r="L57" s="66">
        <f>D57*1.18*12</f>
        <v>7102.656000000001</v>
      </c>
      <c r="M57" s="66">
        <f>D57*0.26*12</f>
        <v>1564.992</v>
      </c>
      <c r="N57" s="66">
        <f>D57*0.06*12</f>
        <v>361.152</v>
      </c>
      <c r="O57" s="66">
        <f>D57*0.18*8+D57*0.19*4</f>
        <v>1103.52</v>
      </c>
      <c r="P57" s="66">
        <v>443.04</v>
      </c>
      <c r="Q57" s="63">
        <v>1842.28</v>
      </c>
      <c r="R57" s="63"/>
      <c r="S57" s="66">
        <f>D252*0.55*8+D252*0.59</f>
        <v>3814.356</v>
      </c>
      <c r="T57" s="67">
        <f>SUM(J57:S57)</f>
        <v>25621.947999999997</v>
      </c>
      <c r="U57" s="67">
        <f>D252*1.34*8+D252*1.45*4</f>
        <v>12627.887999999999</v>
      </c>
      <c r="V57" s="67">
        <f>D252*3*8+D252*3.56*4</f>
        <v>29230.656</v>
      </c>
      <c r="W57" s="57"/>
      <c r="X57" s="56">
        <v>2806</v>
      </c>
      <c r="Y57" s="56"/>
      <c r="Z57" s="56"/>
      <c r="AA57" s="56"/>
      <c r="AB57" s="56"/>
      <c r="AC57" s="56"/>
      <c r="AD57" s="56"/>
      <c r="AE57" s="56"/>
      <c r="AF57" s="56"/>
      <c r="AG57" s="56">
        <v>4186</v>
      </c>
      <c r="AH57" s="56"/>
      <c r="AI57" s="56"/>
      <c r="AJ57" s="56"/>
      <c r="AK57" s="56"/>
      <c r="AL57" s="67">
        <f t="shared" si="6"/>
        <v>6992</v>
      </c>
    </row>
    <row r="58" spans="1:38" ht="15.75">
      <c r="A58" s="63" t="s">
        <v>45</v>
      </c>
      <c r="B58" s="63" t="s">
        <v>46</v>
      </c>
      <c r="C58" s="63" t="s">
        <v>2</v>
      </c>
      <c r="D58" s="83">
        <v>555.7</v>
      </c>
      <c r="E58" s="63">
        <v>35734.72</v>
      </c>
      <c r="F58" s="63">
        <v>0</v>
      </c>
      <c r="G58" s="63">
        <v>0</v>
      </c>
      <c r="H58" s="63">
        <v>35734.72</v>
      </c>
      <c r="I58" s="63">
        <v>26632.68</v>
      </c>
      <c r="J58" s="66">
        <f t="shared" si="0"/>
        <v>2467.308</v>
      </c>
      <c r="K58" s="66">
        <f t="shared" si="1"/>
        <v>7935.396000000001</v>
      </c>
      <c r="L58" s="66">
        <f t="shared" si="2"/>
        <v>7868.7119999999995</v>
      </c>
      <c r="M58" s="66">
        <f t="shared" si="3"/>
        <v>1733.7840000000003</v>
      </c>
      <c r="N58" s="66">
        <f t="shared" si="4"/>
        <v>400.104</v>
      </c>
      <c r="O58" s="66">
        <f t="shared" si="5"/>
        <v>1222.5400000000002</v>
      </c>
      <c r="P58" s="66">
        <v>462.24</v>
      </c>
      <c r="Q58" s="63">
        <v>1507.32</v>
      </c>
      <c r="R58" s="63"/>
      <c r="S58" s="66">
        <f>D58*0.55*8+D58*0.59</f>
        <v>2772.943</v>
      </c>
      <c r="T58" s="67">
        <f>SUM(J58:S58)</f>
        <v>26370.347</v>
      </c>
      <c r="U58" s="67"/>
      <c r="V58" s="67">
        <f>D58*3*8+D58*3.56*4</f>
        <v>21249.968</v>
      </c>
      <c r="W58" s="57"/>
      <c r="X58" s="56">
        <v>2806</v>
      </c>
      <c r="Y58" s="56"/>
      <c r="Z58" s="56"/>
      <c r="AA58" s="56"/>
      <c r="AB58" s="56">
        <v>39631</v>
      </c>
      <c r="AC58" s="56">
        <v>1725</v>
      </c>
      <c r="AD58" s="56"/>
      <c r="AE58" s="56"/>
      <c r="AF58" s="56"/>
      <c r="AG58" s="56"/>
      <c r="AH58" s="56"/>
      <c r="AI58" s="56"/>
      <c r="AJ58" s="56"/>
      <c r="AK58" s="56"/>
      <c r="AL58" s="67">
        <f t="shared" si="6"/>
        <v>44162</v>
      </c>
    </row>
    <row r="59" spans="1:38" ht="15.75">
      <c r="A59" s="63" t="s">
        <v>45</v>
      </c>
      <c r="B59" s="63" t="s">
        <v>47</v>
      </c>
      <c r="C59" s="63" t="s">
        <v>2</v>
      </c>
      <c r="D59" s="83">
        <v>366.8</v>
      </c>
      <c r="E59" s="63">
        <v>18633.6</v>
      </c>
      <c r="F59" s="63">
        <v>0</v>
      </c>
      <c r="G59" s="63">
        <v>0</v>
      </c>
      <c r="H59" s="63">
        <v>18633.6</v>
      </c>
      <c r="I59" s="63">
        <v>18749.67</v>
      </c>
      <c r="J59" s="66">
        <f t="shared" si="0"/>
        <v>1628.592</v>
      </c>
      <c r="K59" s="66">
        <f t="shared" si="1"/>
        <v>5237.904</v>
      </c>
      <c r="L59" s="66">
        <f t="shared" si="2"/>
        <v>5193.888</v>
      </c>
      <c r="M59" s="66">
        <f t="shared" si="3"/>
        <v>1144.4160000000002</v>
      </c>
      <c r="N59" s="66">
        <f t="shared" si="4"/>
        <v>264.096</v>
      </c>
      <c r="O59" s="66">
        <f t="shared" si="5"/>
        <v>806.96</v>
      </c>
      <c r="P59" s="66">
        <v>462.24</v>
      </c>
      <c r="Q59" s="63"/>
      <c r="R59" s="63"/>
      <c r="S59" s="66">
        <f>D59*0.55*8+D59*0.59</f>
        <v>1830.332</v>
      </c>
      <c r="T59" s="67">
        <f>SUM(J59:S59)</f>
        <v>16568.428000000004</v>
      </c>
      <c r="U59" s="67"/>
      <c r="V59" s="67">
        <f>D59*3*8+D59*3.56*4</f>
        <v>14026.432</v>
      </c>
      <c r="W59" s="57">
        <v>14861</v>
      </c>
      <c r="X59" s="56">
        <v>27093</v>
      </c>
      <c r="Y59" s="56"/>
      <c r="Z59" s="56"/>
      <c r="AA59" s="56">
        <v>9301</v>
      </c>
      <c r="AB59" s="56"/>
      <c r="AC59" s="56"/>
      <c r="AD59" s="56"/>
      <c r="AE59" s="56">
        <v>4642</v>
      </c>
      <c r="AF59" s="56"/>
      <c r="AG59" s="56"/>
      <c r="AH59" s="56"/>
      <c r="AI59" s="56"/>
      <c r="AJ59" s="56"/>
      <c r="AK59" s="56"/>
      <c r="AL59" s="67">
        <f t="shared" si="6"/>
        <v>55897</v>
      </c>
    </row>
    <row r="60" spans="1:38" ht="15.75">
      <c r="A60" s="63" t="s">
        <v>45</v>
      </c>
      <c r="B60" s="63" t="s">
        <v>48</v>
      </c>
      <c r="C60" s="63" t="s">
        <v>2</v>
      </c>
      <c r="D60" s="83">
        <v>582.9</v>
      </c>
      <c r="E60" s="63">
        <v>29611.32</v>
      </c>
      <c r="F60" s="63">
        <v>0</v>
      </c>
      <c r="G60" s="63">
        <v>0</v>
      </c>
      <c r="H60" s="63">
        <v>29611.32</v>
      </c>
      <c r="I60" s="63">
        <v>29230.71</v>
      </c>
      <c r="J60" s="66">
        <f t="shared" si="0"/>
        <v>2588.076</v>
      </c>
      <c r="K60" s="66">
        <f t="shared" si="1"/>
        <v>8323.812</v>
      </c>
      <c r="L60" s="66">
        <f t="shared" si="2"/>
        <v>8253.863999999998</v>
      </c>
      <c r="M60" s="66">
        <f t="shared" si="3"/>
        <v>1818.6480000000001</v>
      </c>
      <c r="N60" s="66">
        <f t="shared" si="4"/>
        <v>419.688</v>
      </c>
      <c r="O60" s="66">
        <f t="shared" si="5"/>
        <v>1282.3799999999999</v>
      </c>
      <c r="P60" s="66">
        <v>462.24</v>
      </c>
      <c r="Q60" s="63"/>
      <c r="R60" s="63">
        <v>16225</v>
      </c>
      <c r="S60" s="66">
        <f>D60*0.55*8+D60*0.59</f>
        <v>2908.6710000000003</v>
      </c>
      <c r="T60" s="67">
        <f>SUM(J60:S60)</f>
        <v>42282.379</v>
      </c>
      <c r="U60" s="67"/>
      <c r="V60" s="67">
        <f>D60*3*8+D60*3.56*4</f>
        <v>22290.095999999998</v>
      </c>
      <c r="W60" s="57"/>
      <c r="X60" s="56">
        <v>22927</v>
      </c>
      <c r="Y60" s="56"/>
      <c r="Z60" s="56"/>
      <c r="AA60" s="56"/>
      <c r="AB60" s="56"/>
      <c r="AC60" s="56">
        <v>3829</v>
      </c>
      <c r="AD60" s="56"/>
      <c r="AE60" s="56"/>
      <c r="AF60" s="56"/>
      <c r="AG60" s="56"/>
      <c r="AH60" s="56"/>
      <c r="AI60" s="56"/>
      <c r="AJ60" s="56"/>
      <c r="AK60" s="56"/>
      <c r="AL60" s="67">
        <f t="shared" si="6"/>
        <v>26756</v>
      </c>
    </row>
    <row r="61" spans="1:38" ht="15.75">
      <c r="A61" s="63" t="s">
        <v>45</v>
      </c>
      <c r="B61" s="63" t="s">
        <v>49</v>
      </c>
      <c r="C61" s="63" t="s">
        <v>2</v>
      </c>
      <c r="D61" s="83">
        <v>2139</v>
      </c>
      <c r="E61" s="63">
        <v>113860.92</v>
      </c>
      <c r="F61" s="63">
        <v>0</v>
      </c>
      <c r="G61" s="63">
        <v>0</v>
      </c>
      <c r="H61" s="63">
        <v>113860.92</v>
      </c>
      <c r="I61" s="63">
        <v>107851.97</v>
      </c>
      <c r="J61" s="66">
        <f t="shared" si="0"/>
        <v>9497.16</v>
      </c>
      <c r="K61" s="66">
        <f t="shared" si="1"/>
        <v>30544.92</v>
      </c>
      <c r="L61" s="66">
        <f t="shared" si="2"/>
        <v>30288.239999999998</v>
      </c>
      <c r="M61" s="66">
        <f t="shared" si="3"/>
        <v>6673.68</v>
      </c>
      <c r="N61" s="66">
        <f t="shared" si="4"/>
        <v>1540.08</v>
      </c>
      <c r="O61" s="66">
        <f t="shared" si="5"/>
        <v>4705.8</v>
      </c>
      <c r="P61" s="66">
        <v>370.77</v>
      </c>
      <c r="Q61" s="63">
        <v>6531.72</v>
      </c>
      <c r="R61" s="63"/>
      <c r="S61" s="66">
        <f>D61*0.55*8+D61*0.59</f>
        <v>10673.61</v>
      </c>
      <c r="T61" s="67">
        <f>SUM(J61:S61)</f>
        <v>100825.98000000001</v>
      </c>
      <c r="U61" s="67"/>
      <c r="V61" s="67">
        <f>D61*3*8+D61*3.56*4</f>
        <v>81795.36</v>
      </c>
      <c r="W61" s="57"/>
      <c r="X61" s="56"/>
      <c r="Y61" s="56"/>
      <c r="Z61" s="56">
        <v>66377</v>
      </c>
      <c r="AA61" s="56">
        <v>499156</v>
      </c>
      <c r="AB61" s="56">
        <v>18948</v>
      </c>
      <c r="AC61" s="56"/>
      <c r="AD61" s="56"/>
      <c r="AE61" s="56"/>
      <c r="AF61" s="56">
        <v>7602</v>
      </c>
      <c r="AG61" s="56"/>
      <c r="AH61" s="56"/>
      <c r="AI61" s="56"/>
      <c r="AJ61" s="56"/>
      <c r="AK61" s="56"/>
      <c r="AL61" s="67">
        <f t="shared" si="6"/>
        <v>592083</v>
      </c>
    </row>
    <row r="62" spans="1:38" ht="15.75">
      <c r="A62" s="63" t="s">
        <v>45</v>
      </c>
      <c r="B62" s="63" t="s">
        <v>50</v>
      </c>
      <c r="C62" s="63" t="s">
        <v>2</v>
      </c>
      <c r="D62" s="83">
        <v>751.7</v>
      </c>
      <c r="E62" s="63">
        <v>7341.64</v>
      </c>
      <c r="F62" s="63">
        <v>0</v>
      </c>
      <c r="G62" s="63">
        <v>0</v>
      </c>
      <c r="H62" s="63">
        <v>7341.64</v>
      </c>
      <c r="I62" s="63">
        <v>70.36</v>
      </c>
      <c r="J62" s="66">
        <f t="shared" si="0"/>
        <v>3337.5480000000002</v>
      </c>
      <c r="K62" s="66">
        <f t="shared" si="1"/>
        <v>10734.276</v>
      </c>
      <c r="L62" s="66">
        <f t="shared" si="2"/>
        <v>10644.072</v>
      </c>
      <c r="M62" s="66">
        <f t="shared" si="3"/>
        <v>2345.304</v>
      </c>
      <c r="N62" s="66">
        <f t="shared" si="4"/>
        <v>541.224</v>
      </c>
      <c r="O62" s="66">
        <f t="shared" si="5"/>
        <v>1653.7400000000002</v>
      </c>
      <c r="P62" s="66"/>
      <c r="Q62" s="63"/>
      <c r="R62" s="63"/>
      <c r="S62" s="66">
        <f>D62*0.55*8+D62*0.59</f>
        <v>3750.9830000000006</v>
      </c>
      <c r="T62" s="67">
        <f>SUM(J62:S62)</f>
        <v>33007.147000000004</v>
      </c>
      <c r="U62" s="67"/>
      <c r="V62" s="67">
        <f>D62*3*8+D62*3.56*4</f>
        <v>28745.008</v>
      </c>
      <c r="W62" s="57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67">
        <f t="shared" si="6"/>
        <v>0</v>
      </c>
    </row>
    <row r="63" spans="1:38" ht="15.75">
      <c r="A63" s="63" t="s">
        <v>45</v>
      </c>
      <c r="B63" s="63" t="s">
        <v>51</v>
      </c>
      <c r="C63" s="63" t="s">
        <v>2</v>
      </c>
      <c r="D63" s="83">
        <v>836.2</v>
      </c>
      <c r="E63" s="63">
        <v>45638.04</v>
      </c>
      <c r="F63" s="63">
        <v>0</v>
      </c>
      <c r="G63" s="63">
        <v>0</v>
      </c>
      <c r="H63" s="63">
        <v>45638.04</v>
      </c>
      <c r="I63" s="63">
        <v>44307.12</v>
      </c>
      <c r="J63" s="66">
        <f t="shared" si="0"/>
        <v>3712.728</v>
      </c>
      <c r="K63" s="66">
        <f t="shared" si="1"/>
        <v>11940.936</v>
      </c>
      <c r="L63" s="66">
        <f t="shared" si="2"/>
        <v>11840.592</v>
      </c>
      <c r="M63" s="66">
        <f t="shared" si="3"/>
        <v>2608.944</v>
      </c>
      <c r="N63" s="66">
        <f t="shared" si="4"/>
        <v>602.0640000000001</v>
      </c>
      <c r="O63" s="66">
        <f t="shared" si="5"/>
        <v>1839.6399999999999</v>
      </c>
      <c r="P63" s="66">
        <v>924.48</v>
      </c>
      <c r="Q63" s="63"/>
      <c r="R63" s="63">
        <v>19150</v>
      </c>
      <c r="S63" s="66">
        <f>D63*0.55*8+D63*0.59</f>
        <v>4172.638000000001</v>
      </c>
      <c r="T63" s="67">
        <f>SUM(J63:S63)</f>
        <v>56792.022</v>
      </c>
      <c r="U63" s="67"/>
      <c r="V63" s="67">
        <f>D63*3*8+D63*3.56*4</f>
        <v>31976.288000000004</v>
      </c>
      <c r="W63" s="57"/>
      <c r="X63" s="56">
        <v>2806</v>
      </c>
      <c r="Y63" s="56"/>
      <c r="Z63" s="56"/>
      <c r="AA63" s="56"/>
      <c r="AB63" s="56"/>
      <c r="AC63" s="56"/>
      <c r="AD63" s="56"/>
      <c r="AE63" s="56"/>
      <c r="AF63" s="56">
        <v>653</v>
      </c>
      <c r="AG63" s="56">
        <v>86</v>
      </c>
      <c r="AH63" s="56"/>
      <c r="AI63" s="56"/>
      <c r="AJ63" s="56"/>
      <c r="AK63" s="56"/>
      <c r="AL63" s="67">
        <f t="shared" si="6"/>
        <v>3545</v>
      </c>
    </row>
    <row r="64" spans="1:38" ht="15.75">
      <c r="A64" s="63" t="s">
        <v>45</v>
      </c>
      <c r="B64" s="63" t="s">
        <v>52</v>
      </c>
      <c r="C64" s="63" t="s">
        <v>2</v>
      </c>
      <c r="D64" s="83">
        <v>1330.7</v>
      </c>
      <c r="E64" s="63">
        <v>77062.93</v>
      </c>
      <c r="F64" s="63">
        <v>0</v>
      </c>
      <c r="G64" s="63">
        <v>0</v>
      </c>
      <c r="H64" s="63">
        <v>77062.93</v>
      </c>
      <c r="I64" s="63">
        <v>72048.43</v>
      </c>
      <c r="J64" s="66">
        <f t="shared" si="0"/>
        <v>5908.308000000001</v>
      </c>
      <c r="K64" s="66">
        <f t="shared" si="1"/>
        <v>19002.396</v>
      </c>
      <c r="L64" s="66">
        <f t="shared" si="2"/>
        <v>18842.712</v>
      </c>
      <c r="M64" s="66">
        <f t="shared" si="3"/>
        <v>4151.784000000001</v>
      </c>
      <c r="N64" s="66">
        <f t="shared" si="4"/>
        <v>958.104</v>
      </c>
      <c r="O64" s="66">
        <f t="shared" si="5"/>
        <v>2927.54</v>
      </c>
      <c r="P64" s="66">
        <v>924.48</v>
      </c>
      <c r="Q64" s="63">
        <v>3014.64</v>
      </c>
      <c r="R64" s="63"/>
      <c r="S64" s="66">
        <f>D64*0.55*8+D64*0.59</f>
        <v>6640.193000000001</v>
      </c>
      <c r="T64" s="67">
        <f>SUM(J64:S64)</f>
        <v>62370.157</v>
      </c>
      <c r="U64" s="67"/>
      <c r="V64" s="67">
        <f>D64*3*8+D64*3.56*4</f>
        <v>50885.96800000001</v>
      </c>
      <c r="W64" s="57">
        <v>2087</v>
      </c>
      <c r="X64" s="56">
        <v>628</v>
      </c>
      <c r="Y64" s="56"/>
      <c r="Z64" s="56"/>
      <c r="AA64" s="56"/>
      <c r="AB64" s="56"/>
      <c r="AC64" s="56">
        <v>17772</v>
      </c>
      <c r="AD64" s="56"/>
      <c r="AE64" s="56"/>
      <c r="AF64" s="56"/>
      <c r="AG64" s="56"/>
      <c r="AH64" s="56"/>
      <c r="AI64" s="56"/>
      <c r="AJ64" s="56"/>
      <c r="AK64" s="56"/>
      <c r="AL64" s="67">
        <f t="shared" si="6"/>
        <v>20487</v>
      </c>
    </row>
    <row r="65" spans="1:38" ht="15.75">
      <c r="A65" s="63" t="s">
        <v>45</v>
      </c>
      <c r="B65" s="63" t="s">
        <v>172</v>
      </c>
      <c r="C65" s="63"/>
      <c r="D65" s="83">
        <v>142.2</v>
      </c>
      <c r="E65" s="63"/>
      <c r="F65" s="63"/>
      <c r="G65" s="63"/>
      <c r="H65" s="63"/>
      <c r="I65" s="63"/>
      <c r="J65" s="66">
        <f>D65*8*0.36+D65*0.39*4</f>
        <v>631.3679999999999</v>
      </c>
      <c r="K65" s="66">
        <f>D65*1.19*12</f>
        <v>2030.616</v>
      </c>
      <c r="L65" s="66">
        <f>D65*1.18*12</f>
        <v>2013.5519999999997</v>
      </c>
      <c r="M65" s="66">
        <f>D65*0.26*12</f>
        <v>443.664</v>
      </c>
      <c r="N65" s="66">
        <f>D65*0.06*12</f>
        <v>102.38399999999999</v>
      </c>
      <c r="O65" s="66">
        <f>D65*0.18*8+D65*0.19*4</f>
        <v>312.84</v>
      </c>
      <c r="P65" s="66">
        <v>102.72</v>
      </c>
      <c r="Q65" s="63"/>
      <c r="R65" s="63"/>
      <c r="S65" s="66">
        <f>D241*0.55*8+D241*0.59</f>
        <v>24408.086</v>
      </c>
      <c r="T65" s="67">
        <f>SUM(J65:S65)</f>
        <v>30045.23</v>
      </c>
      <c r="U65" s="67">
        <f>D241*1.34*8+D241*1.45*4</f>
        <v>80805.92799999999</v>
      </c>
      <c r="V65" s="67">
        <f>D241*3*8+D241*3.56*4</f>
        <v>187047.136</v>
      </c>
      <c r="W65" s="57"/>
      <c r="X65" s="56"/>
      <c r="Y65" s="56"/>
      <c r="Z65" s="56"/>
      <c r="AA65" s="56"/>
      <c r="AB65" s="56"/>
      <c r="AC65" s="56"/>
      <c r="AD65" s="56"/>
      <c r="AE65" s="56">
        <v>6449</v>
      </c>
      <c r="AF65" s="56"/>
      <c r="AG65" s="56"/>
      <c r="AH65" s="56"/>
      <c r="AI65" s="56"/>
      <c r="AJ65" s="56"/>
      <c r="AK65" s="56"/>
      <c r="AL65" s="67">
        <f t="shared" si="6"/>
        <v>6449</v>
      </c>
    </row>
    <row r="66" spans="1:38" ht="15.75">
      <c r="A66" s="63" t="s">
        <v>45</v>
      </c>
      <c r="B66" s="63" t="s">
        <v>53</v>
      </c>
      <c r="C66" s="63" t="s">
        <v>2</v>
      </c>
      <c r="D66" s="83">
        <v>1251.5</v>
      </c>
      <c r="E66" s="63">
        <v>65451</v>
      </c>
      <c r="F66" s="63">
        <v>0</v>
      </c>
      <c r="G66" s="63">
        <v>0</v>
      </c>
      <c r="H66" s="63">
        <v>65451</v>
      </c>
      <c r="I66" s="63">
        <v>62969.79</v>
      </c>
      <c r="J66" s="66">
        <f t="shared" si="0"/>
        <v>5556.66</v>
      </c>
      <c r="K66" s="66">
        <f t="shared" si="1"/>
        <v>17871.42</v>
      </c>
      <c r="L66" s="66">
        <f t="shared" si="2"/>
        <v>17721.239999999998</v>
      </c>
      <c r="M66" s="66">
        <f t="shared" si="3"/>
        <v>3904.68</v>
      </c>
      <c r="N66" s="66">
        <f t="shared" si="4"/>
        <v>901.08</v>
      </c>
      <c r="O66" s="66">
        <f t="shared" si="5"/>
        <v>2753.2999999999997</v>
      </c>
      <c r="P66" s="66">
        <v>1232.64</v>
      </c>
      <c r="Q66" s="63">
        <v>4019.52</v>
      </c>
      <c r="R66" s="63"/>
      <c r="S66" s="66">
        <f>D66*0.55*8+D66*0.59</f>
        <v>6244.985000000001</v>
      </c>
      <c r="T66" s="67">
        <f>SUM(J66:S66)</f>
        <v>60205.524999999994</v>
      </c>
      <c r="U66" s="67"/>
      <c r="V66" s="67">
        <f>D66*3*8+D66*3.56*4</f>
        <v>47857.36</v>
      </c>
      <c r="W66" s="57">
        <v>7589</v>
      </c>
      <c r="X66" s="56">
        <v>2806</v>
      </c>
      <c r="Y66" s="56"/>
      <c r="Z66" s="56"/>
      <c r="AA66" s="56">
        <v>104534</v>
      </c>
      <c r="AB66" s="56"/>
      <c r="AC66" s="56"/>
      <c r="AD66" s="56"/>
      <c r="AE66" s="56"/>
      <c r="AF66" s="56"/>
      <c r="AG66" s="56"/>
      <c r="AH66" s="56">
        <v>32699</v>
      </c>
      <c r="AI66" s="56"/>
      <c r="AJ66" s="56"/>
      <c r="AK66" s="56"/>
      <c r="AL66" s="67">
        <f t="shared" si="6"/>
        <v>147628</v>
      </c>
    </row>
    <row r="67" spans="1:38" ht="15.75">
      <c r="A67" s="63" t="s">
        <v>45</v>
      </c>
      <c r="B67" s="63" t="s">
        <v>54</v>
      </c>
      <c r="C67" s="63" t="s">
        <v>2</v>
      </c>
      <c r="D67" s="63">
        <v>1770.8</v>
      </c>
      <c r="E67" s="63">
        <v>10648.84</v>
      </c>
      <c r="F67" s="63">
        <v>0</v>
      </c>
      <c r="G67" s="63">
        <v>0</v>
      </c>
      <c r="H67" s="63">
        <v>10648.84</v>
      </c>
      <c r="I67" s="63">
        <v>12241.83</v>
      </c>
      <c r="J67" s="66">
        <f t="shared" si="0"/>
        <v>7862.351999999999</v>
      </c>
      <c r="K67" s="66">
        <f t="shared" si="1"/>
        <v>25287.023999999998</v>
      </c>
      <c r="L67" s="66">
        <f t="shared" si="2"/>
        <v>25074.528</v>
      </c>
      <c r="M67" s="66">
        <f t="shared" si="3"/>
        <v>5524.896000000001</v>
      </c>
      <c r="N67" s="66">
        <f t="shared" si="4"/>
        <v>1274.9759999999999</v>
      </c>
      <c r="O67" s="66">
        <f t="shared" si="5"/>
        <v>3895.7599999999998</v>
      </c>
      <c r="P67" s="66">
        <v>1643.52</v>
      </c>
      <c r="Q67" s="63">
        <v>5359.36</v>
      </c>
      <c r="R67" s="63">
        <v>20475</v>
      </c>
      <c r="S67" s="66">
        <f>D67*0.55*8+D67*0.59</f>
        <v>8836.292000000001</v>
      </c>
      <c r="T67" s="67">
        <f>SUM(J67:S67)</f>
        <v>105233.708</v>
      </c>
      <c r="U67" s="67">
        <f>D67*1.34*8+D67*1.45*4</f>
        <v>29253.616</v>
      </c>
      <c r="V67" s="67">
        <f>D67*3*8+D67*3.56*4</f>
        <v>67715.39199999999</v>
      </c>
      <c r="W67" s="57">
        <v>58088</v>
      </c>
      <c r="X67" s="56">
        <v>2806</v>
      </c>
      <c r="Y67" s="56"/>
      <c r="Z67" s="56"/>
      <c r="AA67" s="56"/>
      <c r="AB67" s="56"/>
      <c r="AC67" s="56">
        <v>1276</v>
      </c>
      <c r="AD67" s="56"/>
      <c r="AE67" s="56"/>
      <c r="AF67" s="56"/>
      <c r="AG67" s="56"/>
      <c r="AH67" s="56">
        <v>917</v>
      </c>
      <c r="AI67" s="56"/>
      <c r="AJ67" s="56"/>
      <c r="AK67" s="56"/>
      <c r="AL67" s="67">
        <f t="shared" si="6"/>
        <v>63087</v>
      </c>
    </row>
    <row r="68" spans="1:38" ht="15.75">
      <c r="A68" s="68" t="s">
        <v>55</v>
      </c>
      <c r="B68" s="63" t="s">
        <v>12</v>
      </c>
      <c r="C68" s="63" t="s">
        <v>2</v>
      </c>
      <c r="D68" s="83">
        <v>290.2</v>
      </c>
      <c r="E68" s="63">
        <v>18279.68</v>
      </c>
      <c r="F68" s="63">
        <v>0</v>
      </c>
      <c r="G68" s="63">
        <v>0</v>
      </c>
      <c r="H68" s="63">
        <v>18279.68</v>
      </c>
      <c r="I68" s="63">
        <v>24770.19</v>
      </c>
      <c r="J68" s="66">
        <f t="shared" si="0"/>
        <v>1288.4879999999998</v>
      </c>
      <c r="K68" s="66">
        <f t="shared" si="1"/>
        <v>4144.056</v>
      </c>
      <c r="L68" s="66">
        <f t="shared" si="2"/>
        <v>4109.232</v>
      </c>
      <c r="M68" s="66">
        <f t="shared" si="3"/>
        <v>905.424</v>
      </c>
      <c r="N68" s="66">
        <f t="shared" si="4"/>
        <v>208.944</v>
      </c>
      <c r="O68" s="66">
        <f t="shared" si="5"/>
        <v>638.4399999999999</v>
      </c>
      <c r="P68" s="66">
        <v>462.24</v>
      </c>
      <c r="Q68" s="63"/>
      <c r="R68" s="63"/>
      <c r="S68" s="66">
        <f>D68*0.55*8+D68*0.59</f>
        <v>1448.0980000000002</v>
      </c>
      <c r="T68" s="67">
        <f>SUM(J68:S68)</f>
        <v>13204.922</v>
      </c>
      <c r="U68" s="67"/>
      <c r="V68" s="67">
        <f>D68*3*8+D68*3.56*4</f>
        <v>11097.248</v>
      </c>
      <c r="W68" s="57">
        <v>7950</v>
      </c>
      <c r="X68" s="56"/>
      <c r="Y68" s="56"/>
      <c r="Z68" s="56">
        <v>610</v>
      </c>
      <c r="AA68" s="56"/>
      <c r="AB68" s="56"/>
      <c r="AC68" s="56"/>
      <c r="AD68" s="56"/>
      <c r="AE68" s="56"/>
      <c r="AF68" s="56">
        <v>2834</v>
      </c>
      <c r="AG68" s="56"/>
      <c r="AH68" s="56"/>
      <c r="AI68" s="56"/>
      <c r="AJ68" s="56"/>
      <c r="AK68" s="56"/>
      <c r="AL68" s="67">
        <f t="shared" si="6"/>
        <v>11394</v>
      </c>
    </row>
    <row r="69" spans="1:38" ht="15.75">
      <c r="A69" s="63" t="s">
        <v>55</v>
      </c>
      <c r="B69" s="63" t="s">
        <v>13</v>
      </c>
      <c r="C69" s="63" t="s">
        <v>2</v>
      </c>
      <c r="D69" s="83">
        <v>295.9</v>
      </c>
      <c r="E69" s="63">
        <v>18695.12</v>
      </c>
      <c r="F69" s="63">
        <v>0</v>
      </c>
      <c r="G69" s="63">
        <v>0</v>
      </c>
      <c r="H69" s="63">
        <v>18695.12</v>
      </c>
      <c r="I69" s="63">
        <v>15715.84</v>
      </c>
      <c r="J69" s="66">
        <f t="shared" si="0"/>
        <v>1313.7959999999998</v>
      </c>
      <c r="K69" s="66">
        <f t="shared" si="1"/>
        <v>4225.451999999999</v>
      </c>
      <c r="L69" s="66">
        <f t="shared" si="2"/>
        <v>4189.9439999999995</v>
      </c>
      <c r="M69" s="66">
        <f t="shared" si="3"/>
        <v>923.208</v>
      </c>
      <c r="N69" s="66">
        <f t="shared" si="4"/>
        <v>213.04799999999997</v>
      </c>
      <c r="O69" s="66">
        <f t="shared" si="5"/>
        <v>650.9799999999999</v>
      </c>
      <c r="P69" s="66">
        <v>462.24</v>
      </c>
      <c r="Q69" s="63"/>
      <c r="R69" s="63"/>
      <c r="S69" s="66">
        <f>D69*0.55*8+D69*0.59</f>
        <v>1476.541</v>
      </c>
      <c r="T69" s="67">
        <f>SUM(J69:S69)</f>
        <v>13455.208999999999</v>
      </c>
      <c r="U69" s="67"/>
      <c r="V69" s="67">
        <f>D69*3*8+D69*3.56*4</f>
        <v>11315.216</v>
      </c>
      <c r="W69" s="57"/>
      <c r="X69" s="56"/>
      <c r="Y69" s="56"/>
      <c r="Z69" s="56">
        <v>610</v>
      </c>
      <c r="AA69" s="56"/>
      <c r="AB69" s="56"/>
      <c r="AC69" s="56">
        <v>6163</v>
      </c>
      <c r="AD69" s="56"/>
      <c r="AE69" s="56"/>
      <c r="AF69" s="56">
        <v>5839</v>
      </c>
      <c r="AG69" s="56"/>
      <c r="AH69" s="56"/>
      <c r="AI69" s="56"/>
      <c r="AJ69" s="56"/>
      <c r="AK69" s="56"/>
      <c r="AL69" s="67">
        <f t="shared" si="6"/>
        <v>12612</v>
      </c>
    </row>
    <row r="70" spans="1:38" ht="15.75">
      <c r="A70" s="63" t="s">
        <v>58</v>
      </c>
      <c r="B70" s="63" t="s">
        <v>39</v>
      </c>
      <c r="C70" s="63" t="s">
        <v>2</v>
      </c>
      <c r="D70" s="83">
        <v>1286.3</v>
      </c>
      <c r="E70" s="63">
        <v>18471.11</v>
      </c>
      <c r="F70" s="63">
        <v>0</v>
      </c>
      <c r="G70" s="63">
        <v>0</v>
      </c>
      <c r="H70" s="63">
        <v>18471.11</v>
      </c>
      <c r="I70" s="63">
        <v>18354.78</v>
      </c>
      <c r="J70" s="66">
        <f t="shared" si="0"/>
        <v>5711.172</v>
      </c>
      <c r="K70" s="66">
        <f t="shared" si="1"/>
        <v>18368.363999999998</v>
      </c>
      <c r="L70" s="66">
        <f t="shared" si="2"/>
        <v>18214.007999999998</v>
      </c>
      <c r="M70" s="66">
        <f t="shared" si="3"/>
        <v>4013.256</v>
      </c>
      <c r="N70" s="66">
        <f t="shared" si="4"/>
        <v>926.136</v>
      </c>
      <c r="O70" s="66">
        <f t="shared" si="5"/>
        <v>2829.8599999999997</v>
      </c>
      <c r="P70" s="66">
        <v>1643.52</v>
      </c>
      <c r="Q70" s="63"/>
      <c r="R70" s="63">
        <v>15625</v>
      </c>
      <c r="S70" s="66">
        <f>D70*0.55*8+D70*0.59</f>
        <v>6418.637000000001</v>
      </c>
      <c r="T70" s="67">
        <f>SUM(J70:S70)</f>
        <v>73749.953</v>
      </c>
      <c r="U70" s="67">
        <f>D70*1.34*8+D70*1.45*4</f>
        <v>21249.676</v>
      </c>
      <c r="V70" s="67">
        <f>D70*3*8+D70*3.56*4</f>
        <v>49188.111999999994</v>
      </c>
      <c r="W70" s="57"/>
      <c r="X70" s="56">
        <v>5612</v>
      </c>
      <c r="Y70" s="56"/>
      <c r="Z70" s="56"/>
      <c r="AA70" s="56"/>
      <c r="AB70" s="56"/>
      <c r="AC70" s="56"/>
      <c r="AD70" s="56"/>
      <c r="AE70" s="56"/>
      <c r="AF70" s="56">
        <v>7456</v>
      </c>
      <c r="AG70" s="56">
        <v>86</v>
      </c>
      <c r="AH70" s="56">
        <v>2747</v>
      </c>
      <c r="AI70" s="56"/>
      <c r="AJ70" s="56"/>
      <c r="AK70" s="56"/>
      <c r="AL70" s="67">
        <f t="shared" si="6"/>
        <v>15901</v>
      </c>
    </row>
    <row r="71" spans="1:38" ht="15.75">
      <c r="A71" s="63" t="s">
        <v>58</v>
      </c>
      <c r="B71" s="63" t="s">
        <v>61</v>
      </c>
      <c r="C71" s="63" t="s">
        <v>2</v>
      </c>
      <c r="D71" s="83">
        <v>504.1</v>
      </c>
      <c r="E71" s="63">
        <v>32565.6</v>
      </c>
      <c r="F71" s="63">
        <v>0</v>
      </c>
      <c r="G71" s="63">
        <v>0</v>
      </c>
      <c r="H71" s="63">
        <v>32565.6</v>
      </c>
      <c r="I71" s="63">
        <v>28989.91</v>
      </c>
      <c r="J71" s="66">
        <f aca="true" t="shared" si="7" ref="J71:J76">D71*8*0.36+D71*0.39*4</f>
        <v>2238.204</v>
      </c>
      <c r="K71" s="66">
        <f aca="true" t="shared" si="8" ref="K71:K76">D71*1.19*12</f>
        <v>7198.548000000001</v>
      </c>
      <c r="L71" s="66">
        <f aca="true" t="shared" si="9" ref="L71:L76">D71*1.18*12</f>
        <v>7138.056</v>
      </c>
      <c r="M71" s="66">
        <f aca="true" t="shared" si="10" ref="M71:M76">D71*0.26*12</f>
        <v>1572.792</v>
      </c>
      <c r="N71" s="66">
        <f aca="true" t="shared" si="11" ref="N71:N76">D71*0.06*12</f>
        <v>362.952</v>
      </c>
      <c r="O71" s="66">
        <f aca="true" t="shared" si="12" ref="O71:O76">D71*0.18*8+D71*0.19*4</f>
        <v>1109.02</v>
      </c>
      <c r="P71" s="66">
        <v>410.88</v>
      </c>
      <c r="Q71" s="63"/>
      <c r="R71" s="63"/>
      <c r="S71" s="66">
        <f>D71*0.55*8+D71*0.59</f>
        <v>2515.4590000000003</v>
      </c>
      <c r="T71" s="67">
        <f>SUM(J71:S71)</f>
        <v>22545.911000000004</v>
      </c>
      <c r="U71" s="67"/>
      <c r="V71" s="67">
        <f>D71*3*8+D71*3.56*4</f>
        <v>19276.784</v>
      </c>
      <c r="W71" s="57"/>
      <c r="X71" s="56"/>
      <c r="Y71" s="56"/>
      <c r="Z71" s="56"/>
      <c r="AA71" s="56"/>
      <c r="AB71" s="56"/>
      <c r="AC71" s="56"/>
      <c r="AD71" s="56"/>
      <c r="AE71" s="56"/>
      <c r="AF71" s="56">
        <v>1218</v>
      </c>
      <c r="AG71" s="56"/>
      <c r="AH71" s="56"/>
      <c r="AI71" s="56"/>
      <c r="AJ71" s="56"/>
      <c r="AK71" s="56"/>
      <c r="AL71" s="67">
        <f t="shared" si="6"/>
        <v>1218</v>
      </c>
    </row>
    <row r="72" spans="1:38" ht="15.75">
      <c r="A72" s="63" t="s">
        <v>58</v>
      </c>
      <c r="B72" s="63" t="s">
        <v>59</v>
      </c>
      <c r="C72" s="63" t="s">
        <v>2</v>
      </c>
      <c r="D72" s="83">
        <v>583.1</v>
      </c>
      <c r="E72" s="63">
        <v>15924.87</v>
      </c>
      <c r="F72" s="63">
        <v>0</v>
      </c>
      <c r="G72" s="63">
        <v>0</v>
      </c>
      <c r="H72" s="63">
        <v>15924.87</v>
      </c>
      <c r="I72" s="63">
        <v>13685.8</v>
      </c>
      <c r="J72" s="66">
        <f t="shared" si="7"/>
        <v>2588.964</v>
      </c>
      <c r="K72" s="66">
        <f t="shared" si="8"/>
        <v>8326.668</v>
      </c>
      <c r="L72" s="66">
        <f t="shared" si="9"/>
        <v>8256.696</v>
      </c>
      <c r="M72" s="66">
        <f t="shared" si="10"/>
        <v>1819.2720000000004</v>
      </c>
      <c r="N72" s="66">
        <f t="shared" si="11"/>
        <v>419.832</v>
      </c>
      <c r="O72" s="66">
        <f t="shared" si="12"/>
        <v>1282.82</v>
      </c>
      <c r="P72" s="66">
        <v>102.72</v>
      </c>
      <c r="Q72" s="63"/>
      <c r="R72" s="63"/>
      <c r="S72" s="66">
        <f>D72*0.55*8+D72*0.59</f>
        <v>2909.6690000000003</v>
      </c>
      <c r="T72" s="67">
        <f>SUM(J72:S72)</f>
        <v>25706.641000000003</v>
      </c>
      <c r="U72" s="67"/>
      <c r="V72" s="67">
        <f>D72*3*8+D72*3.56*4</f>
        <v>22297.744000000002</v>
      </c>
      <c r="W72" s="57"/>
      <c r="X72" s="56"/>
      <c r="Y72" s="56"/>
      <c r="Z72" s="56"/>
      <c r="AA72" s="56"/>
      <c r="AB72" s="56"/>
      <c r="AC72" s="56"/>
      <c r="AD72" s="56"/>
      <c r="AE72" s="56"/>
      <c r="AF72" s="56">
        <v>6238</v>
      </c>
      <c r="AG72" s="56"/>
      <c r="AH72" s="56"/>
      <c r="AI72" s="56"/>
      <c r="AJ72" s="56"/>
      <c r="AK72" s="56"/>
      <c r="AL72" s="67">
        <f aca="true" t="shared" si="13" ref="AL72:AL135">SUM(W72:AK72)</f>
        <v>6238</v>
      </c>
    </row>
    <row r="73" spans="1:38" ht="15.75">
      <c r="A73" s="63" t="s">
        <v>58</v>
      </c>
      <c r="B73" s="63" t="s">
        <v>60</v>
      </c>
      <c r="C73" s="63" t="s">
        <v>2</v>
      </c>
      <c r="D73" s="83">
        <v>1346.8</v>
      </c>
      <c r="E73" s="63">
        <v>71749.24</v>
      </c>
      <c r="F73" s="63">
        <v>0</v>
      </c>
      <c r="G73" s="63">
        <v>0</v>
      </c>
      <c r="H73" s="63">
        <v>71749.24</v>
      </c>
      <c r="I73" s="63">
        <v>59795.34</v>
      </c>
      <c r="J73" s="66">
        <f t="shared" si="7"/>
        <v>5979.7919999999995</v>
      </c>
      <c r="K73" s="66">
        <f t="shared" si="8"/>
        <v>19232.303999999996</v>
      </c>
      <c r="L73" s="66">
        <f t="shared" si="9"/>
        <v>19070.688</v>
      </c>
      <c r="M73" s="66">
        <f t="shared" si="10"/>
        <v>4202.016</v>
      </c>
      <c r="N73" s="66">
        <f t="shared" si="11"/>
        <v>969.6959999999999</v>
      </c>
      <c r="O73" s="66">
        <f t="shared" si="12"/>
        <v>2962.96</v>
      </c>
      <c r="P73" s="66">
        <v>924.48</v>
      </c>
      <c r="Q73" s="63"/>
      <c r="R73" s="63">
        <v>20000</v>
      </c>
      <c r="S73" s="66">
        <f>D73*0.55*8+D73*0.59</f>
        <v>6720.532</v>
      </c>
      <c r="T73" s="67">
        <f>SUM(J73:S73)</f>
        <v>80062.46800000001</v>
      </c>
      <c r="U73" s="67"/>
      <c r="V73" s="67">
        <f>D73*3*8+D73*3.56*4</f>
        <v>51501.632</v>
      </c>
      <c r="W73" s="57"/>
      <c r="X73" s="56">
        <v>4209</v>
      </c>
      <c r="Y73" s="56"/>
      <c r="Z73" s="56">
        <v>3925</v>
      </c>
      <c r="AA73" s="56"/>
      <c r="AB73" s="56"/>
      <c r="AC73" s="56">
        <v>695</v>
      </c>
      <c r="AD73" s="56"/>
      <c r="AE73" s="56"/>
      <c r="AF73" s="56"/>
      <c r="AG73" s="56"/>
      <c r="AH73" s="56"/>
      <c r="AI73" s="56"/>
      <c r="AJ73" s="56"/>
      <c r="AK73" s="56"/>
      <c r="AL73" s="67">
        <f t="shared" si="13"/>
        <v>8829</v>
      </c>
    </row>
    <row r="74" spans="1:38" ht="15.75">
      <c r="A74" s="63" t="s">
        <v>58</v>
      </c>
      <c r="B74" s="63" t="s">
        <v>15</v>
      </c>
      <c r="C74" s="63" t="s">
        <v>2</v>
      </c>
      <c r="D74" s="83">
        <v>2024.5</v>
      </c>
      <c r="E74" s="63">
        <v>109186.8</v>
      </c>
      <c r="F74" s="63">
        <v>0</v>
      </c>
      <c r="G74" s="63">
        <v>0</v>
      </c>
      <c r="H74" s="63">
        <v>109186.8</v>
      </c>
      <c r="I74" s="63">
        <v>105994.58</v>
      </c>
      <c r="J74" s="66">
        <f t="shared" si="7"/>
        <v>8988.779999999999</v>
      </c>
      <c r="K74" s="66">
        <f t="shared" si="8"/>
        <v>28909.859999999997</v>
      </c>
      <c r="L74" s="66">
        <f t="shared" si="9"/>
        <v>28666.92</v>
      </c>
      <c r="M74" s="66">
        <f t="shared" si="10"/>
        <v>6316.4400000000005</v>
      </c>
      <c r="N74" s="66">
        <f t="shared" si="11"/>
        <v>1457.6399999999999</v>
      </c>
      <c r="O74" s="66">
        <f t="shared" si="12"/>
        <v>4453.9</v>
      </c>
      <c r="P74" s="66">
        <v>1232.64</v>
      </c>
      <c r="Q74" s="63">
        <v>8039.04</v>
      </c>
      <c r="R74" s="63">
        <v>20000</v>
      </c>
      <c r="S74" s="66">
        <f>D74*0.55*8+D74*0.59</f>
        <v>10102.255000000001</v>
      </c>
      <c r="T74" s="67">
        <f>SUM(J74:S74)</f>
        <v>118167.47499999999</v>
      </c>
      <c r="U74" s="67">
        <f>D74*1.34*8+D74*1.45*4</f>
        <v>33444.740000000005</v>
      </c>
      <c r="V74" s="67">
        <f>D74*3*8+D74*3.56*4</f>
        <v>77416.88</v>
      </c>
      <c r="W74" s="57">
        <v>10136</v>
      </c>
      <c r="X74" s="56">
        <v>51986</v>
      </c>
      <c r="Y74" s="56"/>
      <c r="Z74" s="56">
        <v>1741</v>
      </c>
      <c r="AA74" s="56"/>
      <c r="AB74" s="56"/>
      <c r="AC74" s="56"/>
      <c r="AD74" s="56"/>
      <c r="AE74" s="56"/>
      <c r="AF74" s="56"/>
      <c r="AG74" s="56"/>
      <c r="AH74" s="56">
        <v>1016</v>
      </c>
      <c r="AI74" s="56"/>
      <c r="AJ74" s="56"/>
      <c r="AK74" s="56"/>
      <c r="AL74" s="67">
        <f t="shared" si="13"/>
        <v>64879</v>
      </c>
    </row>
    <row r="75" spans="1:38" ht="15.75">
      <c r="A75" s="63" t="s">
        <v>58</v>
      </c>
      <c r="B75" s="63" t="s">
        <v>17</v>
      </c>
      <c r="C75" s="63" t="s">
        <v>2</v>
      </c>
      <c r="D75" s="83">
        <v>2353</v>
      </c>
      <c r="E75" s="63">
        <v>131320.8</v>
      </c>
      <c r="F75" s="63">
        <v>0</v>
      </c>
      <c r="G75" s="63">
        <v>846</v>
      </c>
      <c r="H75" s="63">
        <v>130474.8</v>
      </c>
      <c r="I75" s="63">
        <v>122590.87</v>
      </c>
      <c r="J75" s="66">
        <f t="shared" si="7"/>
        <v>10447.32</v>
      </c>
      <c r="K75" s="66">
        <f t="shared" si="8"/>
        <v>33600.84</v>
      </c>
      <c r="L75" s="66">
        <f t="shared" si="9"/>
        <v>33318.479999999996</v>
      </c>
      <c r="M75" s="66">
        <f t="shared" si="10"/>
        <v>7341.36</v>
      </c>
      <c r="N75" s="66">
        <f t="shared" si="11"/>
        <v>1694.16</v>
      </c>
      <c r="O75" s="66">
        <f t="shared" si="12"/>
        <v>5176.599999999999</v>
      </c>
      <c r="P75" s="66">
        <v>1325.52</v>
      </c>
      <c r="Q75" s="63">
        <v>9378.88</v>
      </c>
      <c r="R75" s="63"/>
      <c r="S75" s="66">
        <f>D75*0.55*8+D75*0.59</f>
        <v>11741.470000000001</v>
      </c>
      <c r="T75" s="67">
        <f>SUM(J75:S75)</f>
        <v>114024.63</v>
      </c>
      <c r="U75" s="67">
        <f>D75*1.34*8+D75*1.45*4</f>
        <v>38871.56</v>
      </c>
      <c r="V75" s="67">
        <f>D75*3*8+D75*3.56*4</f>
        <v>89978.72</v>
      </c>
      <c r="W75" s="57">
        <v>6798</v>
      </c>
      <c r="X75" s="56"/>
      <c r="Y75" s="56"/>
      <c r="Z75" s="56">
        <v>16871</v>
      </c>
      <c r="AA75" s="56">
        <v>360892</v>
      </c>
      <c r="AB75" s="56">
        <v>2917</v>
      </c>
      <c r="AC75" s="56"/>
      <c r="AD75" s="56"/>
      <c r="AE75" s="56"/>
      <c r="AF75" s="56"/>
      <c r="AG75" s="56"/>
      <c r="AH75" s="56">
        <v>3428</v>
      </c>
      <c r="AI75" s="56"/>
      <c r="AJ75" s="56">
        <v>1992</v>
      </c>
      <c r="AK75" s="56"/>
      <c r="AL75" s="67">
        <f t="shared" si="13"/>
        <v>392898</v>
      </c>
    </row>
    <row r="76" spans="1:38" ht="15.75">
      <c r="A76" s="63" t="s">
        <v>62</v>
      </c>
      <c r="B76" s="63" t="s">
        <v>35</v>
      </c>
      <c r="C76" s="63" t="s">
        <v>2</v>
      </c>
      <c r="D76" s="85">
        <v>90</v>
      </c>
      <c r="E76" s="63">
        <v>2180.56</v>
      </c>
      <c r="F76" s="63">
        <v>0</v>
      </c>
      <c r="G76" s="63">
        <v>0</v>
      </c>
      <c r="H76" s="63">
        <v>2180.56</v>
      </c>
      <c r="I76" s="63">
        <v>2355.24</v>
      </c>
      <c r="J76" s="66">
        <f t="shared" si="7"/>
        <v>399.6</v>
      </c>
      <c r="K76" s="66">
        <f t="shared" si="8"/>
        <v>1285.1999999999998</v>
      </c>
      <c r="L76" s="66">
        <f t="shared" si="9"/>
        <v>1274.3999999999999</v>
      </c>
      <c r="M76" s="66">
        <f t="shared" si="10"/>
        <v>280.8</v>
      </c>
      <c r="N76" s="66">
        <f t="shared" si="11"/>
        <v>64.8</v>
      </c>
      <c r="O76" s="66">
        <f t="shared" si="12"/>
        <v>198</v>
      </c>
      <c r="P76" s="66"/>
      <c r="Q76" s="63"/>
      <c r="R76" s="63"/>
      <c r="S76" s="66">
        <f>D76*0.55*8+D76*0.59</f>
        <v>449.1</v>
      </c>
      <c r="T76" s="67">
        <f>SUM(J76:S76)</f>
        <v>3951.9</v>
      </c>
      <c r="U76" s="67"/>
      <c r="V76" s="67">
        <f>D76*3*8+D76*3.56*4</f>
        <v>3441.6</v>
      </c>
      <c r="W76" s="57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67">
        <f t="shared" si="13"/>
        <v>0</v>
      </c>
    </row>
    <row r="77" spans="1:38" ht="15.75">
      <c r="A77" s="63" t="s">
        <v>63</v>
      </c>
      <c r="B77" s="63" t="s">
        <v>34</v>
      </c>
      <c r="C77" s="63" t="s">
        <v>2</v>
      </c>
      <c r="D77" s="83">
        <v>2717.6</v>
      </c>
      <c r="E77" s="63">
        <v>159669.13</v>
      </c>
      <c r="F77" s="63">
        <v>0</v>
      </c>
      <c r="G77" s="63">
        <v>0</v>
      </c>
      <c r="H77" s="63">
        <v>159669.13</v>
      </c>
      <c r="I77" s="63">
        <v>165679.18</v>
      </c>
      <c r="J77" s="66">
        <f aca="true" t="shared" si="14" ref="J77:J137">D77*8*0.36+D77*0.39*4</f>
        <v>12066.144</v>
      </c>
      <c r="K77" s="66">
        <f aca="true" t="shared" si="15" ref="K77:K137">D77*1.19*12</f>
        <v>38807.328</v>
      </c>
      <c r="L77" s="66">
        <f aca="true" t="shared" si="16" ref="L77:L137">D77*1.18*12</f>
        <v>38481.21599999999</v>
      </c>
      <c r="M77" s="66">
        <f aca="true" t="shared" si="17" ref="M77:M137">D77*0.26*12</f>
        <v>8478.912</v>
      </c>
      <c r="N77" s="66">
        <f aca="true" t="shared" si="18" ref="N77:N137">D77*0.06*12</f>
        <v>1956.6719999999998</v>
      </c>
      <c r="O77" s="66">
        <f aca="true" t="shared" si="19" ref="O77:O137">D77*0.18*8+D77*0.19*4</f>
        <v>5978.719999999999</v>
      </c>
      <c r="P77" s="66">
        <v>866.4</v>
      </c>
      <c r="Q77" s="66">
        <v>10048.8</v>
      </c>
      <c r="R77" s="63"/>
      <c r="S77" s="66">
        <f>D77*0.55*8+D77*0.59</f>
        <v>13560.824</v>
      </c>
      <c r="T77" s="67">
        <f>SUM(J77:S77)</f>
        <v>130245.016</v>
      </c>
      <c r="U77" s="67">
        <f>D77*1.34*8+D77*1.45*4</f>
        <v>44894.752</v>
      </c>
      <c r="V77" s="67">
        <f>D77*3*8+D77*3.56*4</f>
        <v>103921.02399999999</v>
      </c>
      <c r="W77" s="57">
        <v>16029</v>
      </c>
      <c r="X77" s="56"/>
      <c r="Y77" s="56"/>
      <c r="Z77" s="56"/>
      <c r="AA77" s="56"/>
      <c r="AB77" s="56"/>
      <c r="AC77" s="56">
        <v>348</v>
      </c>
      <c r="AD77" s="56"/>
      <c r="AE77" s="56"/>
      <c r="AF77" s="56">
        <v>3232</v>
      </c>
      <c r="AG77" s="56">
        <v>25225</v>
      </c>
      <c r="AH77" s="56"/>
      <c r="AI77" s="56"/>
      <c r="AJ77" s="56"/>
      <c r="AK77" s="56"/>
      <c r="AL77" s="67">
        <f t="shared" si="13"/>
        <v>44834</v>
      </c>
    </row>
    <row r="78" spans="1:38" ht="15.75">
      <c r="A78" s="63" t="s">
        <v>63</v>
      </c>
      <c r="B78" s="63" t="s">
        <v>64</v>
      </c>
      <c r="C78" s="63" t="s">
        <v>2</v>
      </c>
      <c r="D78" s="83">
        <v>2698.4</v>
      </c>
      <c r="E78" s="63">
        <v>154479.48</v>
      </c>
      <c r="F78" s="63">
        <v>0</v>
      </c>
      <c r="G78" s="63">
        <v>0</v>
      </c>
      <c r="H78" s="63">
        <v>154479.48</v>
      </c>
      <c r="I78" s="63">
        <v>143898.54</v>
      </c>
      <c r="J78" s="66">
        <f t="shared" si="14"/>
        <v>11980.896</v>
      </c>
      <c r="K78" s="66">
        <f t="shared" si="15"/>
        <v>38533.152</v>
      </c>
      <c r="L78" s="66">
        <f t="shared" si="16"/>
        <v>38209.344</v>
      </c>
      <c r="M78" s="66">
        <f t="shared" si="17"/>
        <v>8419.008000000002</v>
      </c>
      <c r="N78" s="66">
        <f t="shared" si="18"/>
        <v>1942.848</v>
      </c>
      <c r="O78" s="66">
        <f t="shared" si="19"/>
        <v>5936.48</v>
      </c>
      <c r="P78" s="66">
        <v>866.4</v>
      </c>
      <c r="Q78" s="66">
        <v>10048.8</v>
      </c>
      <c r="R78" s="63"/>
      <c r="S78" s="66">
        <f>D78*0.55*8+D78*0.59</f>
        <v>13465.016000000001</v>
      </c>
      <c r="T78" s="67">
        <f>SUM(J78:S78)</f>
        <v>129401.94399999999</v>
      </c>
      <c r="U78" s="67">
        <f>D78*1.34*8+D78*1.45*4</f>
        <v>44577.568</v>
      </c>
      <c r="V78" s="67">
        <f>D78*3*8+D78*3.56*4</f>
        <v>103186.816</v>
      </c>
      <c r="W78" s="57">
        <v>20907</v>
      </c>
      <c r="X78" s="56"/>
      <c r="Y78" s="56"/>
      <c r="Z78" s="56">
        <v>14124</v>
      </c>
      <c r="AA78" s="56"/>
      <c r="AB78" s="56">
        <v>187</v>
      </c>
      <c r="AC78" s="56">
        <v>695</v>
      </c>
      <c r="AD78" s="56"/>
      <c r="AE78" s="56"/>
      <c r="AF78" s="56"/>
      <c r="AG78" s="56">
        <v>25225</v>
      </c>
      <c r="AH78" s="56"/>
      <c r="AI78" s="56"/>
      <c r="AJ78" s="56"/>
      <c r="AK78" s="56"/>
      <c r="AL78" s="67">
        <f t="shared" si="13"/>
        <v>61138</v>
      </c>
    </row>
    <row r="79" spans="1:38" ht="15.75">
      <c r="A79" s="63" t="s">
        <v>63</v>
      </c>
      <c r="B79" s="63" t="s">
        <v>35</v>
      </c>
      <c r="C79" s="63" t="s">
        <v>2</v>
      </c>
      <c r="D79" s="83">
        <v>4512.9</v>
      </c>
      <c r="E79" s="63">
        <v>272435.32</v>
      </c>
      <c r="F79" s="63">
        <v>0</v>
      </c>
      <c r="G79" s="63">
        <v>0</v>
      </c>
      <c r="H79" s="63">
        <v>272435.32</v>
      </c>
      <c r="I79" s="63">
        <v>267181.26</v>
      </c>
      <c r="J79" s="66">
        <f t="shared" si="14"/>
        <v>20037.275999999998</v>
      </c>
      <c r="K79" s="66">
        <f t="shared" si="15"/>
        <v>64444.212</v>
      </c>
      <c r="L79" s="66">
        <f t="shared" si="16"/>
        <v>63902.66399999999</v>
      </c>
      <c r="M79" s="66">
        <f t="shared" si="17"/>
        <v>14080.248</v>
      </c>
      <c r="N79" s="66">
        <f t="shared" si="18"/>
        <v>3249.2879999999996</v>
      </c>
      <c r="O79" s="66">
        <f t="shared" si="19"/>
        <v>9928.38</v>
      </c>
      <c r="P79" s="66">
        <v>866.4</v>
      </c>
      <c r="Q79" s="63">
        <v>15073.2</v>
      </c>
      <c r="R79" s="63"/>
      <c r="S79" s="66">
        <f>D79*0.55*8+D79*0.59</f>
        <v>22519.371</v>
      </c>
      <c r="T79" s="67">
        <f>SUM(J79:S79)</f>
        <v>214101.039</v>
      </c>
      <c r="U79" s="67">
        <f>D79*1.34*8+D79*1.45*4</f>
        <v>74553.108</v>
      </c>
      <c r="V79" s="67">
        <f>D79*3*8+D79*3.56*4</f>
        <v>172573.29599999997</v>
      </c>
      <c r="W79" s="57">
        <v>31361</v>
      </c>
      <c r="X79" s="56"/>
      <c r="Y79" s="56"/>
      <c r="Z79" s="56"/>
      <c r="AA79" s="56">
        <v>497449</v>
      </c>
      <c r="AB79" s="56">
        <v>1971</v>
      </c>
      <c r="AC79" s="56">
        <v>348</v>
      </c>
      <c r="AD79" s="56"/>
      <c r="AE79" s="56"/>
      <c r="AF79" s="56"/>
      <c r="AG79" s="56">
        <v>37637</v>
      </c>
      <c r="AH79" s="56">
        <v>92812</v>
      </c>
      <c r="AI79" s="56"/>
      <c r="AJ79" s="56">
        <v>3646</v>
      </c>
      <c r="AK79" s="56"/>
      <c r="AL79" s="67">
        <f t="shared" si="13"/>
        <v>665224</v>
      </c>
    </row>
    <row r="80" spans="1:38" ht="15.75">
      <c r="A80" s="63" t="s">
        <v>63</v>
      </c>
      <c r="B80" s="63" t="s">
        <v>3</v>
      </c>
      <c r="C80" s="63" t="s">
        <v>2</v>
      </c>
      <c r="D80" s="83">
        <v>120.7</v>
      </c>
      <c r="E80" s="63">
        <v>6976.04</v>
      </c>
      <c r="F80" s="63">
        <v>0</v>
      </c>
      <c r="G80" s="63">
        <v>0</v>
      </c>
      <c r="H80" s="63">
        <v>6976.04</v>
      </c>
      <c r="I80" s="63">
        <v>3506.81</v>
      </c>
      <c r="J80" s="66">
        <f t="shared" si="14"/>
        <v>535.908</v>
      </c>
      <c r="K80" s="66">
        <f t="shared" si="15"/>
        <v>1723.596</v>
      </c>
      <c r="L80" s="66">
        <f t="shared" si="16"/>
        <v>1709.1119999999999</v>
      </c>
      <c r="M80" s="66">
        <f t="shared" si="17"/>
        <v>376.584</v>
      </c>
      <c r="N80" s="66">
        <f t="shared" si="18"/>
        <v>86.904</v>
      </c>
      <c r="O80" s="66">
        <f t="shared" si="19"/>
        <v>265.53999999999996</v>
      </c>
      <c r="P80" s="66"/>
      <c r="Q80" s="63">
        <v>334.96</v>
      </c>
      <c r="R80" s="63">
        <v>4900</v>
      </c>
      <c r="S80" s="66">
        <f>D80*0.55*8+D80*0.59</f>
        <v>602.293</v>
      </c>
      <c r="T80" s="67">
        <f>SUM(J80:S80)</f>
        <v>10534.896999999999</v>
      </c>
      <c r="U80" s="67"/>
      <c r="V80" s="67">
        <f>D80*3*8+D80*3.56*4</f>
        <v>4615.568</v>
      </c>
      <c r="W80" s="57"/>
      <c r="X80" s="56">
        <v>10176</v>
      </c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67">
        <f t="shared" si="13"/>
        <v>10176</v>
      </c>
    </row>
    <row r="81" spans="1:38" ht="15.75">
      <c r="A81" s="63" t="s">
        <v>63</v>
      </c>
      <c r="B81" s="63" t="s">
        <v>65</v>
      </c>
      <c r="C81" s="63" t="s">
        <v>2</v>
      </c>
      <c r="D81" s="83">
        <v>1535.3</v>
      </c>
      <c r="E81" s="63">
        <v>98397.36</v>
      </c>
      <c r="F81" s="63">
        <v>0</v>
      </c>
      <c r="G81" s="63">
        <v>0</v>
      </c>
      <c r="H81" s="63">
        <v>98397.36</v>
      </c>
      <c r="I81" s="63">
        <v>96346.16</v>
      </c>
      <c r="J81" s="66">
        <f t="shared" si="14"/>
        <v>6816.732</v>
      </c>
      <c r="K81" s="66">
        <f t="shared" si="15"/>
        <v>21924.084</v>
      </c>
      <c r="L81" s="66">
        <f t="shared" si="16"/>
        <v>21739.847999999998</v>
      </c>
      <c r="M81" s="66">
        <f t="shared" si="17"/>
        <v>4790.136</v>
      </c>
      <c r="N81" s="66">
        <f t="shared" si="18"/>
        <v>1105.416</v>
      </c>
      <c r="O81" s="66">
        <f t="shared" si="19"/>
        <v>3377.66</v>
      </c>
      <c r="P81" s="66">
        <v>476.52</v>
      </c>
      <c r="Q81" s="63"/>
      <c r="R81" s="63"/>
      <c r="S81" s="66">
        <f>D81*0.55*8+D81*0.59</f>
        <v>7661.147000000001</v>
      </c>
      <c r="T81" s="67">
        <f>SUM(J81:S81)</f>
        <v>67891.54299999999</v>
      </c>
      <c r="U81" s="67">
        <f>D81*1.34*8+D81*1.45*4</f>
        <v>25363.156000000003</v>
      </c>
      <c r="V81" s="67">
        <f>D81*3*8+D81*3.56*4</f>
        <v>58709.871999999996</v>
      </c>
      <c r="W81" s="57"/>
      <c r="X81" s="56"/>
      <c r="Y81" s="56"/>
      <c r="Z81" s="56"/>
      <c r="AA81" s="56"/>
      <c r="AB81" s="56"/>
      <c r="AC81" s="56"/>
      <c r="AD81" s="56"/>
      <c r="AE81" s="56"/>
      <c r="AF81" s="56">
        <v>5220</v>
      </c>
      <c r="AG81" s="56">
        <v>37674</v>
      </c>
      <c r="AH81" s="56">
        <v>9374</v>
      </c>
      <c r="AI81" s="58"/>
      <c r="AJ81" s="56"/>
      <c r="AK81" s="56"/>
      <c r="AL81" s="67">
        <f t="shared" si="13"/>
        <v>52268</v>
      </c>
    </row>
    <row r="82" spans="1:38" ht="15.75">
      <c r="A82" s="63" t="s">
        <v>63</v>
      </c>
      <c r="B82" s="63" t="s">
        <v>65</v>
      </c>
      <c r="C82" s="63" t="s">
        <v>66</v>
      </c>
      <c r="D82" s="83">
        <v>1274</v>
      </c>
      <c r="E82" s="63">
        <v>72670.2</v>
      </c>
      <c r="F82" s="63">
        <v>0</v>
      </c>
      <c r="G82" s="63">
        <v>0</v>
      </c>
      <c r="H82" s="63">
        <v>72670.2</v>
      </c>
      <c r="I82" s="63">
        <v>70939.63</v>
      </c>
      <c r="J82" s="66">
        <f t="shared" si="14"/>
        <v>5656.5599999999995</v>
      </c>
      <c r="K82" s="66">
        <f t="shared" si="15"/>
        <v>18192.72</v>
      </c>
      <c r="L82" s="66">
        <f t="shared" si="16"/>
        <v>18039.84</v>
      </c>
      <c r="M82" s="66">
        <f t="shared" si="17"/>
        <v>3974.88</v>
      </c>
      <c r="N82" s="66">
        <f t="shared" si="18"/>
        <v>917.28</v>
      </c>
      <c r="O82" s="66">
        <f t="shared" si="19"/>
        <v>2802.8</v>
      </c>
      <c r="P82" s="66">
        <v>476.52</v>
      </c>
      <c r="Q82" s="63"/>
      <c r="R82" s="63"/>
      <c r="S82" s="66">
        <f>D82*0.55*8+D82*0.59</f>
        <v>6357.26</v>
      </c>
      <c r="T82" s="67">
        <f>SUM(J82:S82)</f>
        <v>56417.85999999999</v>
      </c>
      <c r="U82" s="67">
        <f>D82*1.34*8+D82*1.45*4</f>
        <v>21046.48</v>
      </c>
      <c r="V82" s="67">
        <f>D82*3*8+D82*3.56*4</f>
        <v>48717.76</v>
      </c>
      <c r="W82" s="57"/>
      <c r="X82" s="56"/>
      <c r="Y82" s="56"/>
      <c r="Z82" s="56"/>
      <c r="AA82" s="56"/>
      <c r="AB82" s="56"/>
      <c r="AC82" s="56"/>
      <c r="AD82" s="56"/>
      <c r="AE82" s="56">
        <v>43733</v>
      </c>
      <c r="AF82" s="56"/>
      <c r="AG82" s="56"/>
      <c r="AH82" s="56"/>
      <c r="AI82" s="56"/>
      <c r="AJ82" s="56"/>
      <c r="AK82" s="56"/>
      <c r="AL82" s="67">
        <f t="shared" si="13"/>
        <v>43733</v>
      </c>
    </row>
    <row r="83" spans="1:38" ht="15.75">
      <c r="A83" s="63" t="s">
        <v>63</v>
      </c>
      <c r="B83" s="63" t="s">
        <v>67</v>
      </c>
      <c r="C83" s="63" t="s">
        <v>2</v>
      </c>
      <c r="D83" s="83">
        <v>9523.6</v>
      </c>
      <c r="E83" s="63">
        <v>507307.62</v>
      </c>
      <c r="F83" s="63">
        <v>0</v>
      </c>
      <c r="G83" s="63">
        <v>0</v>
      </c>
      <c r="H83" s="63">
        <v>507307.62</v>
      </c>
      <c r="I83" s="63">
        <v>510935.48</v>
      </c>
      <c r="J83" s="66">
        <f t="shared" si="14"/>
        <v>42284.784</v>
      </c>
      <c r="K83" s="66">
        <f t="shared" si="15"/>
        <v>135997.008</v>
      </c>
      <c r="L83" s="66">
        <f t="shared" si="16"/>
        <v>134854.176</v>
      </c>
      <c r="M83" s="66">
        <f t="shared" si="17"/>
        <v>29713.631999999998</v>
      </c>
      <c r="N83" s="66">
        <f t="shared" si="18"/>
        <v>6856.992</v>
      </c>
      <c r="O83" s="66">
        <f t="shared" si="19"/>
        <v>20951.920000000002</v>
      </c>
      <c r="P83" s="66">
        <v>2599.2</v>
      </c>
      <c r="Q83" s="63">
        <v>30146.4</v>
      </c>
      <c r="R83" s="63"/>
      <c r="S83" s="66">
        <f>D83*0.55*8+D83*0.59</f>
        <v>47522.764</v>
      </c>
      <c r="T83" s="67">
        <f>SUM(J83:S83)</f>
        <v>450926.87600000005</v>
      </c>
      <c r="U83" s="67">
        <f>D83*1.34*8+D83*1.45*4</f>
        <v>157329.872</v>
      </c>
      <c r="V83" s="67">
        <f>D83*3*8+D83*3.56*4</f>
        <v>364182.46400000004</v>
      </c>
      <c r="W83" s="57"/>
      <c r="X83" s="56"/>
      <c r="Y83" s="56"/>
      <c r="Z83" s="56">
        <v>17013</v>
      </c>
      <c r="AA83" s="56">
        <v>6948</v>
      </c>
      <c r="AB83" s="56">
        <v>18125</v>
      </c>
      <c r="AC83" s="56"/>
      <c r="AD83" s="56"/>
      <c r="AE83" s="56">
        <v>15903</v>
      </c>
      <c r="AF83" s="56">
        <v>1616</v>
      </c>
      <c r="AG83" s="56">
        <v>7109</v>
      </c>
      <c r="AH83" s="56">
        <v>2098</v>
      </c>
      <c r="AI83" s="56">
        <v>98520</v>
      </c>
      <c r="AJ83" s="56">
        <v>3901</v>
      </c>
      <c r="AK83" s="56"/>
      <c r="AL83" s="67">
        <f t="shared" si="13"/>
        <v>171233</v>
      </c>
    </row>
    <row r="84" spans="1:38" ht="15.75">
      <c r="A84" s="63" t="s">
        <v>68</v>
      </c>
      <c r="B84" s="68" t="s">
        <v>1</v>
      </c>
      <c r="C84" s="63"/>
      <c r="D84" s="85">
        <v>66.6</v>
      </c>
      <c r="E84" s="63">
        <v>5930.04</v>
      </c>
      <c r="F84" s="63">
        <v>0</v>
      </c>
      <c r="G84" s="63">
        <v>0</v>
      </c>
      <c r="H84" s="63">
        <v>5930.04</v>
      </c>
      <c r="I84" s="63">
        <v>6483.04</v>
      </c>
      <c r="J84" s="66">
        <f t="shared" si="14"/>
        <v>295.70399999999995</v>
      </c>
      <c r="K84" s="66">
        <f t="shared" si="15"/>
        <v>951.0479999999999</v>
      </c>
      <c r="L84" s="66">
        <f t="shared" si="16"/>
        <v>943.0559999999999</v>
      </c>
      <c r="M84" s="66">
        <f t="shared" si="17"/>
        <v>207.79199999999997</v>
      </c>
      <c r="N84" s="66">
        <f t="shared" si="18"/>
        <v>47.952</v>
      </c>
      <c r="O84" s="66">
        <f t="shared" si="19"/>
        <v>146.51999999999998</v>
      </c>
      <c r="P84" s="66"/>
      <c r="Q84" s="63"/>
      <c r="R84" s="63"/>
      <c r="S84" s="66">
        <f>D84*0.55*8+D84*0.59</f>
        <v>332.334</v>
      </c>
      <c r="T84" s="67">
        <f>SUM(J84:S84)</f>
        <v>2924.4059999999995</v>
      </c>
      <c r="U84" s="67"/>
      <c r="V84" s="67">
        <f>D84*3*8+D84*3.56*4</f>
        <v>2546.7839999999997</v>
      </c>
      <c r="W84" s="57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67">
        <f t="shared" si="13"/>
        <v>0</v>
      </c>
    </row>
    <row r="85" spans="1:38" ht="15.75">
      <c r="A85" s="68" t="s">
        <v>68</v>
      </c>
      <c r="B85" s="68" t="s">
        <v>69</v>
      </c>
      <c r="C85" s="63"/>
      <c r="D85" s="83">
        <v>69.2</v>
      </c>
      <c r="E85" s="63">
        <v>3515.4</v>
      </c>
      <c r="F85" s="63">
        <v>0</v>
      </c>
      <c r="G85" s="63">
        <v>0</v>
      </c>
      <c r="H85" s="63">
        <v>3515.4</v>
      </c>
      <c r="I85" s="63">
        <v>3872.89</v>
      </c>
      <c r="J85" s="66">
        <f t="shared" si="14"/>
        <v>307.248</v>
      </c>
      <c r="K85" s="66">
        <f t="shared" si="15"/>
        <v>988.1759999999999</v>
      </c>
      <c r="L85" s="66">
        <f t="shared" si="16"/>
        <v>979.8720000000001</v>
      </c>
      <c r="M85" s="66">
        <f t="shared" si="17"/>
        <v>215.904</v>
      </c>
      <c r="N85" s="66">
        <f t="shared" si="18"/>
        <v>49.824</v>
      </c>
      <c r="O85" s="66">
        <f t="shared" si="19"/>
        <v>152.24</v>
      </c>
      <c r="P85" s="66"/>
      <c r="Q85" s="63"/>
      <c r="R85" s="63">
        <v>4900</v>
      </c>
      <c r="S85" s="66">
        <f>D85*0.55*8+D85*0.59</f>
        <v>345.308</v>
      </c>
      <c r="T85" s="67">
        <f>SUM(J85:S85)</f>
        <v>7938.572</v>
      </c>
      <c r="U85" s="67"/>
      <c r="V85" s="67">
        <f>D85*3*8+D85*3.56*4</f>
        <v>2646.208</v>
      </c>
      <c r="W85" s="57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67">
        <f t="shared" si="13"/>
        <v>0</v>
      </c>
    </row>
    <row r="86" spans="1:38" ht="15.75">
      <c r="A86" s="68" t="s">
        <v>68</v>
      </c>
      <c r="B86" s="68" t="s">
        <v>70</v>
      </c>
      <c r="C86" s="63"/>
      <c r="D86" s="85">
        <v>155.7</v>
      </c>
      <c r="E86" s="63">
        <v>767.28</v>
      </c>
      <c r="F86" s="63">
        <v>0</v>
      </c>
      <c r="G86" s="63">
        <v>0</v>
      </c>
      <c r="H86" s="63">
        <v>767.28</v>
      </c>
      <c r="I86" s="63">
        <v>639.4</v>
      </c>
      <c r="J86" s="66">
        <f t="shared" si="14"/>
        <v>691.308</v>
      </c>
      <c r="K86" s="66">
        <f t="shared" si="15"/>
        <v>2223.3959999999997</v>
      </c>
      <c r="L86" s="66">
        <f t="shared" si="16"/>
        <v>2204.7119999999995</v>
      </c>
      <c r="M86" s="66">
        <f t="shared" si="17"/>
        <v>485.784</v>
      </c>
      <c r="N86" s="66">
        <f t="shared" si="18"/>
        <v>112.10399999999998</v>
      </c>
      <c r="O86" s="66">
        <f t="shared" si="19"/>
        <v>342.53999999999996</v>
      </c>
      <c r="P86" s="66"/>
      <c r="Q86" s="63"/>
      <c r="R86" s="63"/>
      <c r="S86" s="66">
        <f>D86*0.55*8+D86*0.59</f>
        <v>776.943</v>
      </c>
      <c r="T86" s="67">
        <f>SUM(J86:S86)</f>
        <v>6836.786999999999</v>
      </c>
      <c r="U86" s="67"/>
      <c r="V86" s="67">
        <f>D86*3*8+D86*3.56*4</f>
        <v>5953.967999999999</v>
      </c>
      <c r="W86" s="57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67">
        <f t="shared" si="13"/>
        <v>0</v>
      </c>
    </row>
    <row r="87" spans="1:38" ht="15.75">
      <c r="A87" s="68" t="s">
        <v>68</v>
      </c>
      <c r="B87" s="68" t="s">
        <v>35</v>
      </c>
      <c r="C87" s="63"/>
      <c r="D87" s="85">
        <v>187.1</v>
      </c>
      <c r="E87" s="63">
        <v>271.51</v>
      </c>
      <c r="F87" s="63">
        <v>0</v>
      </c>
      <c r="G87" s="63">
        <v>0</v>
      </c>
      <c r="H87" s="63">
        <v>271.51</v>
      </c>
      <c r="I87" s="63">
        <v>179.34</v>
      </c>
      <c r="J87" s="66">
        <f t="shared" si="14"/>
        <v>830.7239999999999</v>
      </c>
      <c r="K87" s="66">
        <f t="shared" si="15"/>
        <v>2671.7879999999996</v>
      </c>
      <c r="L87" s="66">
        <f t="shared" si="16"/>
        <v>2649.336</v>
      </c>
      <c r="M87" s="66">
        <f t="shared" si="17"/>
        <v>583.752</v>
      </c>
      <c r="N87" s="66">
        <f t="shared" si="18"/>
        <v>134.712</v>
      </c>
      <c r="O87" s="66">
        <f t="shared" si="19"/>
        <v>411.62</v>
      </c>
      <c r="P87" s="66"/>
      <c r="Q87" s="63"/>
      <c r="R87" s="63"/>
      <c r="S87" s="66">
        <f>D87*0.55*8+D87*0.59</f>
        <v>933.629</v>
      </c>
      <c r="T87" s="67">
        <f>SUM(J87:S87)</f>
        <v>8215.561</v>
      </c>
      <c r="U87" s="67"/>
      <c r="V87" s="67">
        <f>D87*3*8+D87*3.56*4</f>
        <v>7154.704</v>
      </c>
      <c r="W87" s="57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67">
        <f t="shared" si="13"/>
        <v>0</v>
      </c>
    </row>
    <row r="88" spans="1:38" ht="15.75">
      <c r="A88" s="68" t="s">
        <v>68</v>
      </c>
      <c r="B88" s="63" t="s">
        <v>71</v>
      </c>
      <c r="C88" s="63" t="s">
        <v>2</v>
      </c>
      <c r="D88" s="85">
        <v>69.6</v>
      </c>
      <c r="E88" s="63">
        <v>2170.17</v>
      </c>
      <c r="F88" s="63">
        <v>0</v>
      </c>
      <c r="G88" s="63">
        <v>0</v>
      </c>
      <c r="H88" s="63">
        <v>2170.17</v>
      </c>
      <c r="I88" s="63">
        <v>2165.58</v>
      </c>
      <c r="J88" s="66">
        <f t="shared" si="14"/>
        <v>309.024</v>
      </c>
      <c r="K88" s="66">
        <f t="shared" si="15"/>
        <v>993.8879999999998</v>
      </c>
      <c r="L88" s="66">
        <f t="shared" si="16"/>
        <v>985.5359999999998</v>
      </c>
      <c r="M88" s="66">
        <f t="shared" si="17"/>
        <v>217.152</v>
      </c>
      <c r="N88" s="66">
        <f t="shared" si="18"/>
        <v>50.111999999999995</v>
      </c>
      <c r="O88" s="66">
        <f t="shared" si="19"/>
        <v>153.11999999999998</v>
      </c>
      <c r="P88" s="66"/>
      <c r="Q88" s="63"/>
      <c r="R88" s="63"/>
      <c r="S88" s="66">
        <f>D88*0.55*8+D88*0.59</f>
        <v>347.304</v>
      </c>
      <c r="T88" s="67">
        <f>SUM(J88:S88)</f>
        <v>3056.1359999999995</v>
      </c>
      <c r="U88" s="67"/>
      <c r="V88" s="67">
        <f>D88*3*8+D88*3.56*4</f>
        <v>2661.504</v>
      </c>
      <c r="W88" s="57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67">
        <f t="shared" si="13"/>
        <v>0</v>
      </c>
    </row>
    <row r="89" spans="1:38" ht="15.75">
      <c r="A89" s="68" t="s">
        <v>68</v>
      </c>
      <c r="B89" s="63" t="s">
        <v>72</v>
      </c>
      <c r="C89" s="63" t="s">
        <v>2</v>
      </c>
      <c r="D89" s="85">
        <v>108.3</v>
      </c>
      <c r="E89" s="63">
        <v>7570.36</v>
      </c>
      <c r="F89" s="63">
        <v>0</v>
      </c>
      <c r="G89" s="63">
        <v>0</v>
      </c>
      <c r="H89" s="63">
        <v>7570.36</v>
      </c>
      <c r="I89" s="63">
        <v>9549.39</v>
      </c>
      <c r="J89" s="66">
        <f t="shared" si="14"/>
        <v>480.852</v>
      </c>
      <c r="K89" s="66">
        <f t="shared" si="15"/>
        <v>1546.524</v>
      </c>
      <c r="L89" s="66">
        <f t="shared" si="16"/>
        <v>1533.528</v>
      </c>
      <c r="M89" s="66">
        <f t="shared" si="17"/>
        <v>337.896</v>
      </c>
      <c r="N89" s="66">
        <f t="shared" si="18"/>
        <v>77.976</v>
      </c>
      <c r="O89" s="66">
        <f t="shared" si="19"/>
        <v>238.26</v>
      </c>
      <c r="P89" s="66"/>
      <c r="Q89" s="63"/>
      <c r="R89" s="63">
        <v>6375</v>
      </c>
      <c r="S89" s="66">
        <f>D89*0.55*8+D89*0.59</f>
        <v>540.417</v>
      </c>
      <c r="T89" s="67">
        <f>SUM(J89:S89)</f>
        <v>11130.453</v>
      </c>
      <c r="U89" s="67"/>
      <c r="V89" s="67">
        <f>D89*3*8+D89*3.56*4</f>
        <v>4141.392</v>
      </c>
      <c r="W89" s="57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67">
        <f t="shared" si="13"/>
        <v>0</v>
      </c>
    </row>
    <row r="90" spans="1:38" ht="15.75">
      <c r="A90" s="63" t="s">
        <v>68</v>
      </c>
      <c r="B90" s="63" t="s">
        <v>44</v>
      </c>
      <c r="C90" s="63" t="s">
        <v>2</v>
      </c>
      <c r="D90" s="83">
        <v>118</v>
      </c>
      <c r="E90" s="63">
        <v>5994.4</v>
      </c>
      <c r="F90" s="63">
        <v>0</v>
      </c>
      <c r="G90" s="63">
        <v>0</v>
      </c>
      <c r="H90" s="63">
        <v>5994.4</v>
      </c>
      <c r="I90" s="63">
        <v>7020.45</v>
      </c>
      <c r="J90" s="66">
        <f t="shared" si="14"/>
        <v>523.92</v>
      </c>
      <c r="K90" s="66">
        <f t="shared" si="15"/>
        <v>1685.04</v>
      </c>
      <c r="L90" s="66">
        <f t="shared" si="16"/>
        <v>1670.8799999999997</v>
      </c>
      <c r="M90" s="66">
        <f t="shared" si="17"/>
        <v>368.15999999999997</v>
      </c>
      <c r="N90" s="66">
        <f t="shared" si="18"/>
        <v>84.96000000000001</v>
      </c>
      <c r="O90" s="66">
        <f t="shared" si="19"/>
        <v>259.6</v>
      </c>
      <c r="P90" s="66"/>
      <c r="Q90" s="63"/>
      <c r="R90" s="63">
        <v>5175</v>
      </c>
      <c r="S90" s="66">
        <f>D90*0.55*8+D90*0.59</f>
        <v>588.82</v>
      </c>
      <c r="T90" s="67">
        <f>SUM(J90:S90)</f>
        <v>10356.380000000001</v>
      </c>
      <c r="U90" s="67"/>
      <c r="V90" s="67">
        <f>D90*3*8+D90*3.56*4</f>
        <v>4512.32</v>
      </c>
      <c r="W90" s="57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67">
        <f t="shared" si="13"/>
        <v>0</v>
      </c>
    </row>
    <row r="91" spans="1:38" ht="15.75">
      <c r="A91" s="63" t="s">
        <v>68</v>
      </c>
      <c r="B91" s="68" t="s">
        <v>3</v>
      </c>
      <c r="C91" s="63"/>
      <c r="D91" s="83">
        <v>70</v>
      </c>
      <c r="E91" s="63">
        <v>4146.44</v>
      </c>
      <c r="F91" s="63">
        <v>0</v>
      </c>
      <c r="G91" s="63">
        <v>0</v>
      </c>
      <c r="H91" s="63">
        <v>4146.44</v>
      </c>
      <c r="I91" s="63">
        <v>4360.8</v>
      </c>
      <c r="J91" s="66">
        <f t="shared" si="14"/>
        <v>310.8</v>
      </c>
      <c r="K91" s="66">
        <f t="shared" si="15"/>
        <v>999.5999999999999</v>
      </c>
      <c r="L91" s="66">
        <f t="shared" si="16"/>
        <v>991.1999999999999</v>
      </c>
      <c r="M91" s="66">
        <f t="shared" si="17"/>
        <v>218.39999999999998</v>
      </c>
      <c r="N91" s="66">
        <f t="shared" si="18"/>
        <v>50.400000000000006</v>
      </c>
      <c r="O91" s="66">
        <f t="shared" si="19"/>
        <v>154</v>
      </c>
      <c r="P91" s="66"/>
      <c r="Q91" s="63"/>
      <c r="R91" s="63">
        <v>4600</v>
      </c>
      <c r="S91" s="66">
        <f>D91*0.55*8+D91*0.59</f>
        <v>349.3</v>
      </c>
      <c r="T91" s="67">
        <f>SUM(J91:S91)</f>
        <v>7673.7</v>
      </c>
      <c r="U91" s="67"/>
      <c r="V91" s="67">
        <f>D91*3*8+D91*3.56*4</f>
        <v>2676.8</v>
      </c>
      <c r="W91" s="57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67">
        <f t="shared" si="13"/>
        <v>0</v>
      </c>
    </row>
    <row r="92" spans="1:38" ht="15.75">
      <c r="A92" s="68" t="s">
        <v>68</v>
      </c>
      <c r="B92" s="63" t="s">
        <v>73</v>
      </c>
      <c r="C92" s="63" t="s">
        <v>2</v>
      </c>
      <c r="D92" s="83">
        <v>90.6</v>
      </c>
      <c r="E92" s="63">
        <v>4602.48</v>
      </c>
      <c r="F92" s="63">
        <v>0</v>
      </c>
      <c r="G92" s="63">
        <v>0</v>
      </c>
      <c r="H92" s="63">
        <v>4602.48</v>
      </c>
      <c r="I92" s="63">
        <v>3830.02</v>
      </c>
      <c r="J92" s="66">
        <f t="shared" si="14"/>
        <v>402.264</v>
      </c>
      <c r="K92" s="66">
        <f t="shared" si="15"/>
        <v>1293.768</v>
      </c>
      <c r="L92" s="66">
        <f t="shared" si="16"/>
        <v>1282.8959999999997</v>
      </c>
      <c r="M92" s="66">
        <f t="shared" si="17"/>
        <v>282.672</v>
      </c>
      <c r="N92" s="66">
        <f t="shared" si="18"/>
        <v>65.23199999999999</v>
      </c>
      <c r="O92" s="66">
        <f t="shared" si="19"/>
        <v>199.32</v>
      </c>
      <c r="P92" s="66"/>
      <c r="Q92" s="63"/>
      <c r="R92" s="63">
        <v>4975</v>
      </c>
      <c r="S92" s="66">
        <f>D92*0.55*8+D92*0.59</f>
        <v>452.094</v>
      </c>
      <c r="T92" s="67">
        <f>SUM(J92:S92)</f>
        <v>8953.246</v>
      </c>
      <c r="U92" s="67"/>
      <c r="V92" s="67">
        <f>D92*3*8+D92*3.56*4</f>
        <v>3464.544</v>
      </c>
      <c r="W92" s="57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67">
        <f t="shared" si="13"/>
        <v>0</v>
      </c>
    </row>
    <row r="93" spans="1:38" ht="15.75">
      <c r="A93" s="68" t="s">
        <v>68</v>
      </c>
      <c r="B93" s="68" t="s">
        <v>67</v>
      </c>
      <c r="C93" s="63"/>
      <c r="D93" s="83">
        <v>94.7</v>
      </c>
      <c r="E93" s="63">
        <v>3479.88</v>
      </c>
      <c r="F93" s="63">
        <v>0</v>
      </c>
      <c r="G93" s="63">
        <v>284.8</v>
      </c>
      <c r="H93" s="63">
        <v>3195.08</v>
      </c>
      <c r="I93" s="63">
        <v>3059.65</v>
      </c>
      <c r="J93" s="66">
        <f t="shared" si="14"/>
        <v>420.46799999999996</v>
      </c>
      <c r="K93" s="66">
        <f t="shared" si="15"/>
        <v>1352.316</v>
      </c>
      <c r="L93" s="66">
        <f t="shared" si="16"/>
        <v>1340.952</v>
      </c>
      <c r="M93" s="66">
        <f t="shared" si="17"/>
        <v>295.464</v>
      </c>
      <c r="N93" s="66">
        <f t="shared" si="18"/>
        <v>68.184</v>
      </c>
      <c r="O93" s="66">
        <f t="shared" si="19"/>
        <v>208.34</v>
      </c>
      <c r="P93" s="66"/>
      <c r="Q93" s="63"/>
      <c r="R93" s="63">
        <v>5150</v>
      </c>
      <c r="S93" s="66">
        <f>D93*0.55*8+D93*0.59</f>
        <v>472.55300000000005</v>
      </c>
      <c r="T93" s="67">
        <f>SUM(J93:S93)</f>
        <v>9308.277</v>
      </c>
      <c r="U93" s="67"/>
      <c r="V93" s="67">
        <f>D93*3*8+D93*3.56*4</f>
        <v>3621.3280000000004</v>
      </c>
      <c r="W93" s="57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67">
        <f t="shared" si="13"/>
        <v>0</v>
      </c>
    </row>
    <row r="94" spans="1:38" ht="15.75">
      <c r="A94" s="63" t="s">
        <v>74</v>
      </c>
      <c r="B94" s="63" t="s">
        <v>34</v>
      </c>
      <c r="C94" s="63" t="s">
        <v>2</v>
      </c>
      <c r="D94" s="83">
        <v>607.3</v>
      </c>
      <c r="E94" s="63">
        <v>34174.68</v>
      </c>
      <c r="F94" s="63">
        <v>0</v>
      </c>
      <c r="G94" s="63">
        <v>0</v>
      </c>
      <c r="H94" s="63">
        <v>34174.68</v>
      </c>
      <c r="I94" s="63">
        <v>35098.54</v>
      </c>
      <c r="J94" s="66">
        <f t="shared" si="14"/>
        <v>2696.412</v>
      </c>
      <c r="K94" s="66">
        <f t="shared" si="15"/>
        <v>8672.243999999999</v>
      </c>
      <c r="L94" s="66">
        <f t="shared" si="16"/>
        <v>8599.367999999999</v>
      </c>
      <c r="M94" s="66">
        <f t="shared" si="17"/>
        <v>1894.7759999999998</v>
      </c>
      <c r="N94" s="66">
        <f t="shared" si="18"/>
        <v>437.256</v>
      </c>
      <c r="O94" s="66">
        <f t="shared" si="19"/>
        <v>1336.06</v>
      </c>
      <c r="P94" s="66">
        <v>443.04</v>
      </c>
      <c r="Q94" s="63"/>
      <c r="R94" s="63"/>
      <c r="S94" s="66">
        <f>D94*0.55*8+D94*0.59</f>
        <v>3030.4269999999997</v>
      </c>
      <c r="T94" s="67">
        <f>SUM(J94:S94)</f>
        <v>27109.583</v>
      </c>
      <c r="U94" s="67"/>
      <c r="V94" s="67">
        <f>D94*3*8+D94*3.56*4</f>
        <v>23223.152</v>
      </c>
      <c r="W94" s="57"/>
      <c r="X94" s="56"/>
      <c r="Y94" s="56"/>
      <c r="Z94" s="56">
        <v>2515</v>
      </c>
      <c r="AA94" s="56">
        <v>168771</v>
      </c>
      <c r="AB94" s="56"/>
      <c r="AC94" s="56"/>
      <c r="AD94" s="56"/>
      <c r="AE94" s="56"/>
      <c r="AF94" s="56"/>
      <c r="AG94" s="56"/>
      <c r="AH94" s="56">
        <v>32699</v>
      </c>
      <c r="AI94" s="56"/>
      <c r="AJ94" s="56"/>
      <c r="AK94" s="56"/>
      <c r="AL94" s="67">
        <f t="shared" si="13"/>
        <v>203985</v>
      </c>
    </row>
    <row r="95" spans="1:38" ht="15.75">
      <c r="A95" s="63" t="s">
        <v>74</v>
      </c>
      <c r="B95" s="63" t="s">
        <v>75</v>
      </c>
      <c r="C95" s="63" t="s">
        <v>2</v>
      </c>
      <c r="D95" s="83">
        <v>449.3</v>
      </c>
      <c r="E95" s="63">
        <v>27296.7</v>
      </c>
      <c r="F95" s="63">
        <v>-903.54</v>
      </c>
      <c r="G95" s="63">
        <v>0</v>
      </c>
      <c r="H95" s="63">
        <v>26393.16</v>
      </c>
      <c r="I95" s="63">
        <v>25535.19</v>
      </c>
      <c r="J95" s="66">
        <f t="shared" si="14"/>
        <v>1994.8919999999998</v>
      </c>
      <c r="K95" s="66">
        <f t="shared" si="15"/>
        <v>6416.004000000001</v>
      </c>
      <c r="L95" s="66">
        <f t="shared" si="16"/>
        <v>6362.088</v>
      </c>
      <c r="M95" s="66">
        <f t="shared" si="17"/>
        <v>1401.8160000000003</v>
      </c>
      <c r="N95" s="66">
        <f t="shared" si="18"/>
        <v>323.496</v>
      </c>
      <c r="O95" s="66">
        <f t="shared" si="19"/>
        <v>988.46</v>
      </c>
      <c r="P95" s="66"/>
      <c r="Q95" s="63"/>
      <c r="R95" s="63">
        <v>9750</v>
      </c>
      <c r="S95" s="66">
        <f>D95*0.55*8+D95*0.59</f>
        <v>2242.0070000000005</v>
      </c>
      <c r="T95" s="67">
        <f>SUM(J95:S95)</f>
        <v>29478.763000000003</v>
      </c>
      <c r="U95" s="67"/>
      <c r="V95" s="67">
        <f>D95*3*8+D95*3.56*4</f>
        <v>17181.232</v>
      </c>
      <c r="W95" s="57">
        <v>4871</v>
      </c>
      <c r="X95" s="56">
        <v>2437</v>
      </c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67">
        <f t="shared" si="13"/>
        <v>7308</v>
      </c>
    </row>
    <row r="96" spans="1:38" ht="15.75">
      <c r="A96" s="63" t="s">
        <v>74</v>
      </c>
      <c r="B96" s="63" t="s">
        <v>41</v>
      </c>
      <c r="C96" s="63" t="s">
        <v>2</v>
      </c>
      <c r="D96" s="85">
        <v>286.4</v>
      </c>
      <c r="E96" s="63">
        <v>1012.65</v>
      </c>
      <c r="F96" s="63">
        <v>0</v>
      </c>
      <c r="G96" s="63">
        <v>0</v>
      </c>
      <c r="H96" s="63">
        <v>1012.65</v>
      </c>
      <c r="I96" s="63">
        <v>1350.2</v>
      </c>
      <c r="J96" s="66">
        <f t="shared" si="14"/>
        <v>1271.616</v>
      </c>
      <c r="K96" s="66">
        <f t="shared" si="15"/>
        <v>4089.7919999999995</v>
      </c>
      <c r="L96" s="66">
        <f t="shared" si="16"/>
        <v>4055.423999999999</v>
      </c>
      <c r="M96" s="66">
        <f t="shared" si="17"/>
        <v>893.568</v>
      </c>
      <c r="N96" s="66">
        <f t="shared" si="18"/>
        <v>206.20799999999997</v>
      </c>
      <c r="O96" s="66">
        <f t="shared" si="19"/>
        <v>630.0799999999999</v>
      </c>
      <c r="P96" s="66"/>
      <c r="Q96" s="63"/>
      <c r="R96" s="63"/>
      <c r="S96" s="66">
        <f>D96*0.55*8+D96*0.59</f>
        <v>1429.136</v>
      </c>
      <c r="T96" s="67">
        <f>SUM(J96:S96)</f>
        <v>12575.823999999999</v>
      </c>
      <c r="U96" s="67"/>
      <c r="V96" s="67">
        <f>D96*3*8+D96*3.56*4</f>
        <v>10951.936</v>
      </c>
      <c r="W96" s="57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67">
        <f t="shared" si="13"/>
        <v>0</v>
      </c>
    </row>
    <row r="97" spans="1:38" ht="15.75">
      <c r="A97" s="63" t="s">
        <v>74</v>
      </c>
      <c r="B97" s="63" t="s">
        <v>42</v>
      </c>
      <c r="C97" s="63" t="s">
        <v>2</v>
      </c>
      <c r="D97" s="83">
        <v>630.6</v>
      </c>
      <c r="E97" s="63">
        <v>41564.87</v>
      </c>
      <c r="F97" s="63">
        <v>0</v>
      </c>
      <c r="G97" s="63">
        <v>0</v>
      </c>
      <c r="H97" s="63">
        <v>41564.87</v>
      </c>
      <c r="I97" s="63">
        <v>35198.21</v>
      </c>
      <c r="J97" s="66">
        <f t="shared" si="14"/>
        <v>2799.864</v>
      </c>
      <c r="K97" s="66">
        <f t="shared" si="15"/>
        <v>9004.968</v>
      </c>
      <c r="L97" s="66">
        <f t="shared" si="16"/>
        <v>8929.295999999998</v>
      </c>
      <c r="M97" s="66">
        <f t="shared" si="17"/>
        <v>1967.4720000000002</v>
      </c>
      <c r="N97" s="66">
        <f t="shared" si="18"/>
        <v>454.032</v>
      </c>
      <c r="O97" s="66">
        <f t="shared" si="19"/>
        <v>1387.32</v>
      </c>
      <c r="P97" s="66">
        <v>231.04</v>
      </c>
      <c r="Q97" s="63">
        <v>2679.68</v>
      </c>
      <c r="R97" s="63"/>
      <c r="S97" s="66">
        <f>D97*0.55*8+D97*0.59</f>
        <v>3146.6940000000004</v>
      </c>
      <c r="T97" s="67">
        <f>SUM(J97:S97)</f>
        <v>30600.365999999998</v>
      </c>
      <c r="U97" s="67"/>
      <c r="V97" s="67">
        <f>D97*3*8+D97*3.56*4</f>
        <v>24114.144</v>
      </c>
      <c r="W97" s="57">
        <v>6584</v>
      </c>
      <c r="X97" s="56"/>
      <c r="Y97" s="56"/>
      <c r="Z97" s="56">
        <v>30593</v>
      </c>
      <c r="AA97" s="56">
        <v>122257</v>
      </c>
      <c r="AB97" s="56">
        <v>52431</v>
      </c>
      <c r="AC97" s="56"/>
      <c r="AD97" s="56"/>
      <c r="AE97" s="56"/>
      <c r="AF97" s="56">
        <v>5542</v>
      </c>
      <c r="AG97" s="56"/>
      <c r="AH97" s="56">
        <v>366</v>
      </c>
      <c r="AI97" s="56"/>
      <c r="AJ97" s="56"/>
      <c r="AK97" s="56"/>
      <c r="AL97" s="67">
        <f t="shared" si="13"/>
        <v>217773</v>
      </c>
    </row>
    <row r="98" spans="1:38" ht="15.75">
      <c r="A98" s="63" t="s">
        <v>74</v>
      </c>
      <c r="B98" s="63" t="s">
        <v>14</v>
      </c>
      <c r="C98" s="63" t="s">
        <v>2</v>
      </c>
      <c r="D98" s="83">
        <v>594.6</v>
      </c>
      <c r="E98" s="63">
        <v>37012.76</v>
      </c>
      <c r="F98" s="63">
        <v>0</v>
      </c>
      <c r="G98" s="63">
        <v>0</v>
      </c>
      <c r="H98" s="63">
        <v>37012.76</v>
      </c>
      <c r="I98" s="63">
        <v>34250.37</v>
      </c>
      <c r="J98" s="66">
        <f t="shared" si="14"/>
        <v>2640.0240000000003</v>
      </c>
      <c r="K98" s="66">
        <f t="shared" si="15"/>
        <v>8490.887999999999</v>
      </c>
      <c r="L98" s="66">
        <f t="shared" si="16"/>
        <v>8419.536</v>
      </c>
      <c r="M98" s="66">
        <f t="shared" si="17"/>
        <v>1855.152</v>
      </c>
      <c r="N98" s="66">
        <f t="shared" si="18"/>
        <v>428.112</v>
      </c>
      <c r="O98" s="66">
        <f t="shared" si="19"/>
        <v>1308.1200000000001</v>
      </c>
      <c r="P98" s="66">
        <v>231.04</v>
      </c>
      <c r="Q98" s="63">
        <v>2009.76</v>
      </c>
      <c r="R98" s="63"/>
      <c r="S98" s="66">
        <f>D98*0.55*8+D98*0.59</f>
        <v>2967.054</v>
      </c>
      <c r="T98" s="67">
        <f>SUM(J98:S98)</f>
        <v>28349.685999999998</v>
      </c>
      <c r="U98" s="67"/>
      <c r="V98" s="67">
        <f>D98*3*8+D98*3.56*4</f>
        <v>22737.504</v>
      </c>
      <c r="W98" s="57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67">
        <f t="shared" si="13"/>
        <v>0</v>
      </c>
    </row>
    <row r="99" spans="1:38" ht="15.75">
      <c r="A99" s="63" t="s">
        <v>74</v>
      </c>
      <c r="B99" s="63" t="s">
        <v>76</v>
      </c>
      <c r="C99" s="63" t="s">
        <v>2</v>
      </c>
      <c r="D99" s="83">
        <v>276.8</v>
      </c>
      <c r="E99" s="63">
        <v>14061.48</v>
      </c>
      <c r="F99" s="63">
        <v>0</v>
      </c>
      <c r="G99" s="63">
        <v>0</v>
      </c>
      <c r="H99" s="63">
        <v>14061.48</v>
      </c>
      <c r="I99" s="63">
        <v>12780.42</v>
      </c>
      <c r="J99" s="66">
        <f t="shared" si="14"/>
        <v>1228.992</v>
      </c>
      <c r="K99" s="66">
        <f t="shared" si="15"/>
        <v>3952.7039999999997</v>
      </c>
      <c r="L99" s="66">
        <f t="shared" si="16"/>
        <v>3919.4880000000003</v>
      </c>
      <c r="M99" s="66">
        <f t="shared" si="17"/>
        <v>863.616</v>
      </c>
      <c r="N99" s="66">
        <f t="shared" si="18"/>
        <v>199.296</v>
      </c>
      <c r="O99" s="66">
        <f t="shared" si="19"/>
        <v>608.96</v>
      </c>
      <c r="P99" s="66">
        <v>115.52</v>
      </c>
      <c r="Q99" s="63"/>
      <c r="R99" s="63"/>
      <c r="S99" s="66">
        <f>D99*0.55*8+D99*0.59</f>
        <v>1381.232</v>
      </c>
      <c r="T99" s="67">
        <f>SUM(J99:S99)</f>
        <v>12269.808</v>
      </c>
      <c r="U99" s="67"/>
      <c r="V99" s="67">
        <f>D99*3*8+D99*3.56*4</f>
        <v>10584.832</v>
      </c>
      <c r="W99" s="57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67">
        <f t="shared" si="13"/>
        <v>0</v>
      </c>
    </row>
    <row r="100" spans="1:38" ht="15.75">
      <c r="A100" s="63" t="s">
        <v>74</v>
      </c>
      <c r="B100" s="63" t="s">
        <v>67</v>
      </c>
      <c r="C100" s="63" t="s">
        <v>2</v>
      </c>
      <c r="D100" s="85">
        <v>375</v>
      </c>
      <c r="E100" s="63">
        <v>13745.94</v>
      </c>
      <c r="F100" s="63">
        <v>0</v>
      </c>
      <c r="G100" s="63">
        <v>0</v>
      </c>
      <c r="H100" s="63">
        <v>13745.94</v>
      </c>
      <c r="I100" s="63">
        <v>5496.52</v>
      </c>
      <c r="J100" s="66">
        <f t="shared" si="14"/>
        <v>1665</v>
      </c>
      <c r="K100" s="66">
        <f t="shared" si="15"/>
        <v>5355</v>
      </c>
      <c r="L100" s="66">
        <f t="shared" si="16"/>
        <v>5310</v>
      </c>
      <c r="M100" s="66">
        <f t="shared" si="17"/>
        <v>1170</v>
      </c>
      <c r="N100" s="66">
        <f t="shared" si="18"/>
        <v>270</v>
      </c>
      <c r="O100" s="66">
        <f t="shared" si="19"/>
        <v>825</v>
      </c>
      <c r="P100" s="66">
        <v>115.52</v>
      </c>
      <c r="Q100" s="63"/>
      <c r="R100" s="63"/>
      <c r="S100" s="66">
        <f>D100*0.55*8+D100*0.59</f>
        <v>1871.2500000000002</v>
      </c>
      <c r="T100" s="67">
        <f>SUM(J100:S100)</f>
        <v>16581.77</v>
      </c>
      <c r="U100" s="67"/>
      <c r="V100" s="67">
        <f>D100*3*8+D100*3.56*4</f>
        <v>14340</v>
      </c>
      <c r="W100" s="57"/>
      <c r="X100" s="56">
        <v>5685</v>
      </c>
      <c r="Y100" s="56"/>
      <c r="Z100" s="56"/>
      <c r="AA100" s="56"/>
      <c r="AB100" s="56"/>
      <c r="AC100" s="56"/>
      <c r="AD100" s="56"/>
      <c r="AE100" s="56"/>
      <c r="AF100" s="56">
        <v>1218</v>
      </c>
      <c r="AG100" s="56"/>
      <c r="AH100" s="56"/>
      <c r="AI100" s="56"/>
      <c r="AJ100" s="56"/>
      <c r="AK100" s="56"/>
      <c r="AL100" s="67">
        <f t="shared" si="13"/>
        <v>6903</v>
      </c>
    </row>
    <row r="101" spans="1:38" ht="15.75">
      <c r="A101" s="68" t="s">
        <v>77</v>
      </c>
      <c r="B101" s="68" t="s">
        <v>6</v>
      </c>
      <c r="C101" s="63"/>
      <c r="D101" s="85">
        <v>235.3</v>
      </c>
      <c r="E101" s="63">
        <v>5449.62</v>
      </c>
      <c r="F101" s="63">
        <v>0</v>
      </c>
      <c r="G101" s="63">
        <v>0</v>
      </c>
      <c r="H101" s="63">
        <v>5449.62</v>
      </c>
      <c r="I101" s="63">
        <v>4071.72</v>
      </c>
      <c r="J101" s="66">
        <f t="shared" si="14"/>
        <v>1044.732</v>
      </c>
      <c r="K101" s="66">
        <f t="shared" si="15"/>
        <v>3360.084</v>
      </c>
      <c r="L101" s="66">
        <f t="shared" si="16"/>
        <v>3331.848</v>
      </c>
      <c r="M101" s="66">
        <f t="shared" si="17"/>
        <v>734.1360000000001</v>
      </c>
      <c r="N101" s="66">
        <f t="shared" si="18"/>
        <v>169.416</v>
      </c>
      <c r="O101" s="66">
        <f t="shared" si="19"/>
        <v>517.66</v>
      </c>
      <c r="P101" s="66"/>
      <c r="Q101" s="63"/>
      <c r="R101" s="63"/>
      <c r="S101" s="66">
        <f>D101*0.55*8+D101*0.59</f>
        <v>1174.1470000000002</v>
      </c>
      <c r="T101" s="67">
        <f>SUM(J101:S101)</f>
        <v>10332.023</v>
      </c>
      <c r="U101" s="67"/>
      <c r="V101" s="67">
        <f>D101*3*8+D101*3.56*4</f>
        <v>8997.872000000001</v>
      </c>
      <c r="W101" s="57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67">
        <f t="shared" si="13"/>
        <v>0</v>
      </c>
    </row>
    <row r="102" spans="1:38" ht="15.75">
      <c r="A102" s="68" t="s">
        <v>77</v>
      </c>
      <c r="B102" s="68" t="s">
        <v>78</v>
      </c>
      <c r="C102" s="63"/>
      <c r="D102" s="83">
        <v>88.5</v>
      </c>
      <c r="E102" s="63">
        <v>6927.12</v>
      </c>
      <c r="F102" s="63">
        <v>0</v>
      </c>
      <c r="G102" s="63">
        <v>0</v>
      </c>
      <c r="H102" s="63">
        <v>6927.12</v>
      </c>
      <c r="I102" s="63">
        <v>7516.66</v>
      </c>
      <c r="J102" s="66">
        <f t="shared" si="14"/>
        <v>392.94</v>
      </c>
      <c r="K102" s="66">
        <f t="shared" si="15"/>
        <v>1263.78</v>
      </c>
      <c r="L102" s="66">
        <f t="shared" si="16"/>
        <v>1253.1599999999999</v>
      </c>
      <c r="M102" s="66">
        <f t="shared" si="17"/>
        <v>276.12</v>
      </c>
      <c r="N102" s="66">
        <f t="shared" si="18"/>
        <v>63.72</v>
      </c>
      <c r="O102" s="66">
        <f t="shared" si="19"/>
        <v>194.7</v>
      </c>
      <c r="P102" s="66"/>
      <c r="Q102" s="63"/>
      <c r="R102" s="63"/>
      <c r="S102" s="66">
        <f>D102*0.55*8+D102*0.59</f>
        <v>441.615</v>
      </c>
      <c r="T102" s="67">
        <f>SUM(J102:S102)</f>
        <v>3886.035</v>
      </c>
      <c r="U102" s="67"/>
      <c r="V102" s="67">
        <f>D102*3*8+D102*3.56*4</f>
        <v>3384.24</v>
      </c>
      <c r="W102" s="57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67">
        <f t="shared" si="13"/>
        <v>0</v>
      </c>
    </row>
    <row r="103" spans="1:38" ht="15.75">
      <c r="A103" s="63" t="s">
        <v>79</v>
      </c>
      <c r="B103" s="63" t="s">
        <v>80</v>
      </c>
      <c r="C103" s="63" t="s">
        <v>2</v>
      </c>
      <c r="D103" s="85">
        <v>284.6</v>
      </c>
      <c r="E103" s="63">
        <v>0</v>
      </c>
      <c r="F103" s="63">
        <v>-4330.88</v>
      </c>
      <c r="G103" s="63">
        <v>0</v>
      </c>
      <c r="H103" s="63">
        <v>-4330.88</v>
      </c>
      <c r="I103" s="63">
        <v>0</v>
      </c>
      <c r="J103" s="66">
        <f t="shared" si="14"/>
        <v>1263.624</v>
      </c>
      <c r="K103" s="66">
        <f t="shared" si="15"/>
        <v>4064.0880000000006</v>
      </c>
      <c r="L103" s="66">
        <f t="shared" si="16"/>
        <v>4029.9360000000006</v>
      </c>
      <c r="M103" s="66">
        <f t="shared" si="17"/>
        <v>887.9520000000001</v>
      </c>
      <c r="N103" s="66">
        <f t="shared" si="18"/>
        <v>204.912</v>
      </c>
      <c r="O103" s="66">
        <f t="shared" si="19"/>
        <v>626.12</v>
      </c>
      <c r="P103" s="66"/>
      <c r="Q103" s="63"/>
      <c r="R103" s="63"/>
      <c r="S103" s="66">
        <f>D103*0.55*8+D103*0.59</f>
        <v>1420.1540000000002</v>
      </c>
      <c r="T103" s="67">
        <f>SUM(J103:S103)</f>
        <v>12496.786000000002</v>
      </c>
      <c r="U103" s="67"/>
      <c r="V103" s="67">
        <f>D103*3*8+D103*3.56*4</f>
        <v>10883.104000000001</v>
      </c>
      <c r="W103" s="57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67">
        <f t="shared" si="13"/>
        <v>0</v>
      </c>
    </row>
    <row r="104" spans="1:38" ht="15.75">
      <c r="A104" s="63" t="s">
        <v>79</v>
      </c>
      <c r="B104" s="68" t="s">
        <v>16</v>
      </c>
      <c r="C104" s="63"/>
      <c r="D104" s="85">
        <v>205.3</v>
      </c>
      <c r="E104" s="63">
        <v>4474.7</v>
      </c>
      <c r="F104" s="63">
        <v>0</v>
      </c>
      <c r="G104" s="63">
        <v>0</v>
      </c>
      <c r="H104" s="63">
        <v>4474.7</v>
      </c>
      <c r="I104" s="63">
        <v>0</v>
      </c>
      <c r="J104" s="66">
        <f t="shared" si="14"/>
        <v>911.532</v>
      </c>
      <c r="K104" s="66">
        <f t="shared" si="15"/>
        <v>2931.684</v>
      </c>
      <c r="L104" s="66">
        <f t="shared" si="16"/>
        <v>2907.048</v>
      </c>
      <c r="M104" s="66">
        <f t="shared" si="17"/>
        <v>640.5360000000001</v>
      </c>
      <c r="N104" s="66">
        <f t="shared" si="18"/>
        <v>147.816</v>
      </c>
      <c r="O104" s="66">
        <f t="shared" si="19"/>
        <v>451.66</v>
      </c>
      <c r="P104" s="66"/>
      <c r="Q104" s="63"/>
      <c r="R104" s="63"/>
      <c r="S104" s="66">
        <f>D104*0.55*8+D104*0.59</f>
        <v>1024.4470000000001</v>
      </c>
      <c r="T104" s="67">
        <f>SUM(J104:S104)</f>
        <v>9014.723</v>
      </c>
      <c r="U104" s="67"/>
      <c r="V104" s="67">
        <f>D104*3*8+D104*3.56*4</f>
        <v>7850.6720000000005</v>
      </c>
      <c r="W104" s="57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67">
        <f t="shared" si="13"/>
        <v>0</v>
      </c>
    </row>
    <row r="105" spans="1:38" ht="15.75">
      <c r="A105" s="63" t="s">
        <v>82</v>
      </c>
      <c r="B105" s="63" t="s">
        <v>173</v>
      </c>
      <c r="C105" s="63"/>
      <c r="D105" s="83">
        <v>370.8</v>
      </c>
      <c r="E105" s="63"/>
      <c r="F105" s="63"/>
      <c r="G105" s="63"/>
      <c r="H105" s="63"/>
      <c r="I105" s="63"/>
      <c r="J105" s="66">
        <f>D105*8*0.36+D105*0.39*4</f>
        <v>1646.352</v>
      </c>
      <c r="K105" s="66">
        <f>D105*1.19*12</f>
        <v>5295.024</v>
      </c>
      <c r="L105" s="66">
        <f>D105*1.18*12</f>
        <v>5250.528</v>
      </c>
      <c r="M105" s="66">
        <f>D105*0.26*12</f>
        <v>1156.896</v>
      </c>
      <c r="N105" s="66">
        <f>D105*0.06*12</f>
        <v>266.976</v>
      </c>
      <c r="O105" s="66">
        <f>D105*0.18*8+D105*0.19*4</f>
        <v>815.76</v>
      </c>
      <c r="P105" s="66">
        <v>443.04</v>
      </c>
      <c r="Q105" s="63"/>
      <c r="R105" s="63"/>
      <c r="S105" s="66">
        <f>D105*0.55*8+D105*0.59</f>
        <v>1850.2920000000001</v>
      </c>
      <c r="T105" s="67">
        <f>SUM(J105:S105)</f>
        <v>16724.868000000002</v>
      </c>
      <c r="U105" s="67"/>
      <c r="V105" s="67">
        <f>D105*3*8+D105*3.56*4</f>
        <v>14179.392</v>
      </c>
      <c r="W105" s="57"/>
      <c r="X105" s="56">
        <v>22926</v>
      </c>
      <c r="Y105" s="56"/>
      <c r="Z105" s="56"/>
      <c r="AA105" s="56"/>
      <c r="AB105" s="56">
        <v>9380</v>
      </c>
      <c r="AC105" s="56"/>
      <c r="AD105" s="56"/>
      <c r="AE105" s="56">
        <v>34760</v>
      </c>
      <c r="AF105" s="56"/>
      <c r="AG105" s="56"/>
      <c r="AH105" s="56">
        <v>9374</v>
      </c>
      <c r="AI105" s="56">
        <v>28217</v>
      </c>
      <c r="AJ105" s="56"/>
      <c r="AK105" s="56"/>
      <c r="AL105" s="67">
        <f t="shared" si="13"/>
        <v>104657</v>
      </c>
    </row>
    <row r="106" spans="1:38" ht="15.75">
      <c r="A106" s="63" t="s">
        <v>82</v>
      </c>
      <c r="B106" s="63" t="s">
        <v>34</v>
      </c>
      <c r="C106" s="63" t="s">
        <v>2</v>
      </c>
      <c r="D106" s="83">
        <v>813.6</v>
      </c>
      <c r="E106" s="63">
        <v>47031.88</v>
      </c>
      <c r="F106" s="63">
        <v>0</v>
      </c>
      <c r="G106" s="63">
        <v>0</v>
      </c>
      <c r="H106" s="63">
        <v>47031.88</v>
      </c>
      <c r="I106" s="63">
        <v>33030.65</v>
      </c>
      <c r="J106" s="66">
        <f t="shared" si="14"/>
        <v>3612.384</v>
      </c>
      <c r="K106" s="66">
        <f t="shared" si="15"/>
        <v>11618.207999999999</v>
      </c>
      <c r="L106" s="66">
        <f t="shared" si="16"/>
        <v>11520.576000000001</v>
      </c>
      <c r="M106" s="66">
        <f t="shared" si="17"/>
        <v>2538.432</v>
      </c>
      <c r="N106" s="66">
        <f t="shared" si="18"/>
        <v>585.792</v>
      </c>
      <c r="O106" s="66">
        <f t="shared" si="19"/>
        <v>1789.92</v>
      </c>
      <c r="P106" s="66">
        <v>443.04</v>
      </c>
      <c r="Q106" s="63"/>
      <c r="R106" s="63"/>
      <c r="S106" s="66">
        <f>D106*0.55*8+D106*0.59</f>
        <v>4059.8640000000005</v>
      </c>
      <c r="T106" s="67">
        <f>SUM(J106:S106)</f>
        <v>36168.216</v>
      </c>
      <c r="U106" s="67"/>
      <c r="V106" s="67">
        <f>D106*3*8+D106*3.56*4</f>
        <v>31112.064000000002</v>
      </c>
      <c r="W106" s="55">
        <v>829</v>
      </c>
      <c r="X106" s="56">
        <v>244</v>
      </c>
      <c r="Y106" s="56"/>
      <c r="Z106" s="56"/>
      <c r="AA106" s="56">
        <v>57110</v>
      </c>
      <c r="AB106" s="56"/>
      <c r="AC106" s="56"/>
      <c r="AD106" s="56"/>
      <c r="AE106" s="56"/>
      <c r="AF106" s="56">
        <v>7502</v>
      </c>
      <c r="AG106" s="56"/>
      <c r="AH106" s="56"/>
      <c r="AI106" s="56"/>
      <c r="AJ106" s="56"/>
      <c r="AK106" s="56"/>
      <c r="AL106" s="67">
        <f t="shared" si="13"/>
        <v>65685</v>
      </c>
    </row>
    <row r="107" spans="1:38" ht="15.75">
      <c r="A107" s="63" t="s">
        <v>82</v>
      </c>
      <c r="B107" s="63" t="s">
        <v>70</v>
      </c>
      <c r="C107" s="63" t="s">
        <v>2</v>
      </c>
      <c r="D107" s="83">
        <v>671</v>
      </c>
      <c r="E107" s="63">
        <v>60828.38</v>
      </c>
      <c r="F107" s="63">
        <v>0</v>
      </c>
      <c r="G107" s="63">
        <v>3376.4</v>
      </c>
      <c r="H107" s="63">
        <v>57451.98</v>
      </c>
      <c r="I107" s="63">
        <v>53713.21</v>
      </c>
      <c r="J107" s="66">
        <f t="shared" si="14"/>
        <v>2979.24</v>
      </c>
      <c r="K107" s="66">
        <f t="shared" si="15"/>
        <v>9581.880000000001</v>
      </c>
      <c r="L107" s="66">
        <f t="shared" si="16"/>
        <v>9501.36</v>
      </c>
      <c r="M107" s="66">
        <f t="shared" si="17"/>
        <v>2093.52</v>
      </c>
      <c r="N107" s="66">
        <f t="shared" si="18"/>
        <v>483.12</v>
      </c>
      <c r="O107" s="66">
        <f t="shared" si="19"/>
        <v>1476.2</v>
      </c>
      <c r="P107" s="66">
        <v>443.04</v>
      </c>
      <c r="Q107" s="63"/>
      <c r="R107" s="63"/>
      <c r="S107" s="66">
        <f>D107*0.55*8+D107*0.59</f>
        <v>3348.29</v>
      </c>
      <c r="T107" s="67">
        <f>SUM(J107:S107)</f>
        <v>29906.650000000005</v>
      </c>
      <c r="U107" s="67"/>
      <c r="V107" s="67">
        <f>D107*3*8+D107*3.56*4</f>
        <v>25659.04</v>
      </c>
      <c r="W107" s="55"/>
      <c r="X107" s="56">
        <v>122</v>
      </c>
      <c r="Y107" s="56"/>
      <c r="Z107" s="56"/>
      <c r="AA107" s="56">
        <v>67501</v>
      </c>
      <c r="AB107" s="56">
        <v>31816</v>
      </c>
      <c r="AC107" s="56"/>
      <c r="AD107" s="56"/>
      <c r="AE107" s="56"/>
      <c r="AF107" s="56"/>
      <c r="AG107" s="56"/>
      <c r="AH107" s="56"/>
      <c r="AI107" s="56"/>
      <c r="AJ107" s="56"/>
      <c r="AK107" s="56"/>
      <c r="AL107" s="67">
        <f t="shared" si="13"/>
        <v>99439</v>
      </c>
    </row>
    <row r="108" spans="1:38" ht="15.75">
      <c r="A108" s="63" t="s">
        <v>82</v>
      </c>
      <c r="B108" s="63" t="s">
        <v>35</v>
      </c>
      <c r="C108" s="63" t="s">
        <v>2</v>
      </c>
      <c r="D108" s="83">
        <v>4824</v>
      </c>
      <c r="E108" s="63">
        <v>265718.09</v>
      </c>
      <c r="F108" s="63">
        <v>0</v>
      </c>
      <c r="G108" s="63">
        <v>0</v>
      </c>
      <c r="H108" s="63">
        <v>265718.09</v>
      </c>
      <c r="I108" s="63">
        <v>244399.8</v>
      </c>
      <c r="J108" s="66">
        <f t="shared" si="14"/>
        <v>21418.559999999998</v>
      </c>
      <c r="K108" s="66">
        <f t="shared" si="15"/>
        <v>68886.72</v>
      </c>
      <c r="L108" s="66">
        <f t="shared" si="16"/>
        <v>68307.84</v>
      </c>
      <c r="M108" s="66">
        <f t="shared" si="17"/>
        <v>15050.880000000001</v>
      </c>
      <c r="N108" s="66">
        <f t="shared" si="18"/>
        <v>3473.2799999999997</v>
      </c>
      <c r="O108" s="66">
        <f t="shared" si="19"/>
        <v>10612.8</v>
      </c>
      <c r="P108" s="66">
        <v>3876.6</v>
      </c>
      <c r="Q108" s="63">
        <v>17585.4</v>
      </c>
      <c r="R108" s="63"/>
      <c r="S108" s="66">
        <f>D108*0.55*8+D108*0.59</f>
        <v>24071.760000000002</v>
      </c>
      <c r="T108" s="67">
        <f>SUM(J108:S108)</f>
        <v>233283.84</v>
      </c>
      <c r="U108" s="67">
        <f>D108*1.34*8+D108*1.45*4</f>
        <v>79692.48000000001</v>
      </c>
      <c r="V108" s="67">
        <f>D108*3*8+D108*3.56*4</f>
        <v>184469.76</v>
      </c>
      <c r="W108" s="55">
        <v>27872</v>
      </c>
      <c r="X108" s="56"/>
      <c r="Y108" s="56">
        <v>16525</v>
      </c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>
        <v>7745</v>
      </c>
      <c r="AK108" s="56"/>
      <c r="AL108" s="67">
        <f t="shared" si="13"/>
        <v>52142</v>
      </c>
    </row>
    <row r="109" spans="1:38" ht="15.75">
      <c r="A109" s="63" t="s">
        <v>82</v>
      </c>
      <c r="B109" s="63" t="s">
        <v>6</v>
      </c>
      <c r="C109" s="63" t="s">
        <v>2</v>
      </c>
      <c r="D109" s="83">
        <v>844.1</v>
      </c>
      <c r="E109" s="63">
        <v>45731.08</v>
      </c>
      <c r="F109" s="63">
        <v>0</v>
      </c>
      <c r="G109" s="63">
        <v>0</v>
      </c>
      <c r="H109" s="63">
        <v>45731.08</v>
      </c>
      <c r="I109" s="63">
        <v>44386.23</v>
      </c>
      <c r="J109" s="66">
        <f t="shared" si="14"/>
        <v>3747.804</v>
      </c>
      <c r="K109" s="66">
        <f t="shared" si="15"/>
        <v>12053.748</v>
      </c>
      <c r="L109" s="66">
        <f t="shared" si="16"/>
        <v>11952.456</v>
      </c>
      <c r="M109" s="66">
        <f t="shared" si="17"/>
        <v>2633.592</v>
      </c>
      <c r="N109" s="66">
        <f t="shared" si="18"/>
        <v>607.752</v>
      </c>
      <c r="O109" s="66">
        <f t="shared" si="19"/>
        <v>1857.02</v>
      </c>
      <c r="P109" s="66">
        <v>924.48</v>
      </c>
      <c r="Q109" s="63"/>
      <c r="R109" s="63">
        <v>19850</v>
      </c>
      <c r="S109" s="66">
        <f>D109*0.55*8+D109*0.59</f>
        <v>4212.059</v>
      </c>
      <c r="T109" s="67">
        <f>SUM(J109:S109)</f>
        <v>57838.91100000001</v>
      </c>
      <c r="U109" s="67"/>
      <c r="V109" s="67">
        <f>D109*3*8+D109*3.56*4</f>
        <v>32278.384000000002</v>
      </c>
      <c r="W109" s="55">
        <v>5733</v>
      </c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67">
        <f t="shared" si="13"/>
        <v>5733</v>
      </c>
    </row>
    <row r="110" spans="1:38" ht="15.75">
      <c r="A110" s="63" t="s">
        <v>83</v>
      </c>
      <c r="B110" s="63" t="s">
        <v>44</v>
      </c>
      <c r="C110" s="63" t="s">
        <v>2</v>
      </c>
      <c r="D110" s="83">
        <v>969.2</v>
      </c>
      <c r="E110" s="63">
        <v>56461.32</v>
      </c>
      <c r="F110" s="63">
        <v>0</v>
      </c>
      <c r="G110" s="63">
        <v>0</v>
      </c>
      <c r="H110" s="63">
        <v>56461.32</v>
      </c>
      <c r="I110" s="63">
        <v>59204.27</v>
      </c>
      <c r="J110" s="66">
        <f>D110*8*0.36+D110*0.39*4</f>
        <v>4303.248</v>
      </c>
      <c r="K110" s="66">
        <f>D110*1.19*12</f>
        <v>13840.176</v>
      </c>
      <c r="L110" s="66">
        <f>D110*1.18*12</f>
        <v>13723.872</v>
      </c>
      <c r="M110" s="66">
        <f>D110*0.26*12</f>
        <v>3023.9040000000005</v>
      </c>
      <c r="N110" s="66">
        <f>D110*0.06*12</f>
        <v>697.8240000000001</v>
      </c>
      <c r="O110" s="66">
        <f>D110*0.18*8+D110*0.19*4</f>
        <v>2132.24</v>
      </c>
      <c r="P110" s="66">
        <v>1232.64</v>
      </c>
      <c r="Q110" s="63"/>
      <c r="R110" s="63">
        <v>14175</v>
      </c>
      <c r="S110" s="66">
        <f>D110*0.55*8+D110*0.59</f>
        <v>4836.308000000001</v>
      </c>
      <c r="T110" s="67">
        <f>SUM(J110:S110)</f>
        <v>57965.212</v>
      </c>
      <c r="U110" s="67"/>
      <c r="V110" s="67">
        <f>D110*3*8+D110*3.56*4</f>
        <v>37062.208000000006</v>
      </c>
      <c r="W110" s="55"/>
      <c r="X110" s="56"/>
      <c r="Y110" s="56"/>
      <c r="Z110" s="56"/>
      <c r="AA110" s="56"/>
      <c r="AB110" s="56">
        <v>308</v>
      </c>
      <c r="AC110" s="56"/>
      <c r="AD110" s="56"/>
      <c r="AE110" s="56"/>
      <c r="AF110" s="56"/>
      <c r="AG110" s="56"/>
      <c r="AH110" s="56">
        <v>4696</v>
      </c>
      <c r="AI110" s="56"/>
      <c r="AJ110" s="56"/>
      <c r="AK110" s="56"/>
      <c r="AL110" s="67">
        <f t="shared" si="13"/>
        <v>5004</v>
      </c>
    </row>
    <row r="111" spans="1:38" ht="15.75">
      <c r="A111" s="63" t="s">
        <v>83</v>
      </c>
      <c r="B111" s="63" t="s">
        <v>67</v>
      </c>
      <c r="C111" s="63" t="s">
        <v>2</v>
      </c>
      <c r="D111" s="83">
        <v>2045.3</v>
      </c>
      <c r="E111" s="63">
        <v>123389.64</v>
      </c>
      <c r="F111" s="63">
        <v>0</v>
      </c>
      <c r="G111" s="63">
        <v>1016</v>
      </c>
      <c r="H111" s="63">
        <v>122373.64</v>
      </c>
      <c r="I111" s="63">
        <v>115792.58</v>
      </c>
      <c r="J111" s="66">
        <f>D111*8*0.36+D111*0.39*4</f>
        <v>9081.132</v>
      </c>
      <c r="K111" s="66">
        <f>D111*1.19*12</f>
        <v>29206.884</v>
      </c>
      <c r="L111" s="66">
        <f>D111*1.18*12</f>
        <v>28961.447999999997</v>
      </c>
      <c r="M111" s="66">
        <f>D111*0.26*12</f>
        <v>6381.336</v>
      </c>
      <c r="N111" s="66">
        <f>D111*0.06*12</f>
        <v>1472.616</v>
      </c>
      <c r="O111" s="66">
        <f>D111*0.18*8+D111*0.19*4</f>
        <v>4499.66</v>
      </c>
      <c r="P111" s="66">
        <v>1772.16</v>
      </c>
      <c r="Q111" s="63">
        <v>8039.04</v>
      </c>
      <c r="R111" s="63">
        <v>22325</v>
      </c>
      <c r="S111" s="66">
        <f>D111*0.55*8+D111*0.59</f>
        <v>10206.046999999999</v>
      </c>
      <c r="T111" s="67">
        <f>SUM(J111:S111)</f>
        <v>121945.32299999997</v>
      </c>
      <c r="U111" s="67">
        <f>D111*1.34*8+D111*1.45*4</f>
        <v>33788.356</v>
      </c>
      <c r="V111" s="67">
        <f>D111*3*8+D111*3.56*4</f>
        <v>78212.272</v>
      </c>
      <c r="W111" s="55"/>
      <c r="X111" s="56"/>
      <c r="Y111" s="56"/>
      <c r="Z111" s="56"/>
      <c r="AA111" s="56"/>
      <c r="AB111" s="56"/>
      <c r="AC111" s="56">
        <v>3451</v>
      </c>
      <c r="AD111" s="56"/>
      <c r="AE111" s="56"/>
      <c r="AF111" s="56"/>
      <c r="AG111" s="56"/>
      <c r="AH111" s="56"/>
      <c r="AI111" s="56"/>
      <c r="AJ111" s="56"/>
      <c r="AK111" s="56"/>
      <c r="AL111" s="67">
        <f t="shared" si="13"/>
        <v>3451</v>
      </c>
    </row>
    <row r="112" spans="1:38" ht="15.75">
      <c r="A112" s="63" t="s">
        <v>83</v>
      </c>
      <c r="B112" s="63" t="s">
        <v>69</v>
      </c>
      <c r="C112" s="63" t="s">
        <v>2</v>
      </c>
      <c r="D112" s="83">
        <v>972.6</v>
      </c>
      <c r="E112" s="63">
        <v>54689.12</v>
      </c>
      <c r="F112" s="63">
        <v>0</v>
      </c>
      <c r="G112" s="63">
        <v>0</v>
      </c>
      <c r="H112" s="63">
        <v>54689.12</v>
      </c>
      <c r="I112" s="63">
        <v>51789.85</v>
      </c>
      <c r="J112" s="66">
        <f t="shared" si="14"/>
        <v>4318.344</v>
      </c>
      <c r="K112" s="66">
        <f t="shared" si="15"/>
        <v>13888.728</v>
      </c>
      <c r="L112" s="66">
        <f t="shared" si="16"/>
        <v>13772.016</v>
      </c>
      <c r="M112" s="66">
        <f t="shared" si="17"/>
        <v>3034.512</v>
      </c>
      <c r="N112" s="66">
        <f t="shared" si="18"/>
        <v>700.272</v>
      </c>
      <c r="O112" s="66">
        <f t="shared" si="19"/>
        <v>2139.72</v>
      </c>
      <c r="P112" s="66">
        <v>1232.64</v>
      </c>
      <c r="Q112" s="63"/>
      <c r="R112" s="63">
        <v>14325</v>
      </c>
      <c r="S112" s="66">
        <f>D112*0.55*8+D112*0.59</f>
        <v>4853.274</v>
      </c>
      <c r="T112" s="67">
        <f>SUM(J112:S112)</f>
        <v>58264.505999999994</v>
      </c>
      <c r="U112" s="67"/>
      <c r="V112" s="67">
        <f>D112*3*8+D112*3.56*4</f>
        <v>37192.224</v>
      </c>
      <c r="W112" s="55"/>
      <c r="X112" s="56"/>
      <c r="Y112" s="56"/>
      <c r="Z112" s="56"/>
      <c r="AA112" s="56">
        <v>210027</v>
      </c>
      <c r="AB112" s="56"/>
      <c r="AC112" s="56">
        <v>3451</v>
      </c>
      <c r="AD112" s="56"/>
      <c r="AE112" s="56"/>
      <c r="AF112" s="56"/>
      <c r="AG112" s="56"/>
      <c r="AH112" s="56"/>
      <c r="AI112" s="56"/>
      <c r="AJ112" s="56"/>
      <c r="AK112" s="56"/>
      <c r="AL112" s="67">
        <f t="shared" si="13"/>
        <v>213478</v>
      </c>
    </row>
    <row r="113" spans="1:38" ht="15.75">
      <c r="A113" s="63" t="s">
        <v>83</v>
      </c>
      <c r="B113" s="63" t="s">
        <v>34</v>
      </c>
      <c r="C113" s="63" t="s">
        <v>2</v>
      </c>
      <c r="D113" s="83">
        <v>270.7</v>
      </c>
      <c r="E113" s="63">
        <v>24900.64</v>
      </c>
      <c r="F113" s="63">
        <v>0</v>
      </c>
      <c r="G113" s="63">
        <v>0</v>
      </c>
      <c r="H113" s="63">
        <v>24900.64</v>
      </c>
      <c r="I113" s="63">
        <v>25503.33</v>
      </c>
      <c r="J113" s="66">
        <f t="shared" si="14"/>
        <v>1201.908</v>
      </c>
      <c r="K113" s="66">
        <f t="shared" si="15"/>
        <v>3865.5959999999995</v>
      </c>
      <c r="L113" s="66">
        <f t="shared" si="16"/>
        <v>3833.112</v>
      </c>
      <c r="M113" s="66">
        <f t="shared" si="17"/>
        <v>844.5840000000001</v>
      </c>
      <c r="N113" s="66">
        <f t="shared" si="18"/>
        <v>194.90399999999997</v>
      </c>
      <c r="O113" s="66">
        <f t="shared" si="19"/>
        <v>595.54</v>
      </c>
      <c r="P113" s="66">
        <v>57.76</v>
      </c>
      <c r="Q113" s="63"/>
      <c r="R113" s="63">
        <v>6475</v>
      </c>
      <c r="S113" s="66">
        <f>D113*0.55*8+D113*0.59</f>
        <v>1350.7930000000001</v>
      </c>
      <c r="T113" s="67">
        <f>SUM(J113:S113)</f>
        <v>18419.197000000004</v>
      </c>
      <c r="U113" s="67"/>
      <c r="V113" s="67">
        <f>D113*3*8+D113*3.56*4</f>
        <v>10351.568</v>
      </c>
      <c r="W113" s="55">
        <v>1251</v>
      </c>
      <c r="X113" s="56"/>
      <c r="Y113" s="56"/>
      <c r="Z113" s="56"/>
      <c r="AA113" s="56"/>
      <c r="AB113" s="56">
        <v>655</v>
      </c>
      <c r="AC113" s="56"/>
      <c r="AD113" s="56"/>
      <c r="AE113" s="56"/>
      <c r="AF113" s="56"/>
      <c r="AG113" s="56"/>
      <c r="AH113" s="56"/>
      <c r="AI113" s="56">
        <v>10631</v>
      </c>
      <c r="AJ113" s="56"/>
      <c r="AK113" s="56"/>
      <c r="AL113" s="67">
        <f t="shared" si="13"/>
        <v>12537</v>
      </c>
    </row>
    <row r="114" spans="1:38" ht="15.75">
      <c r="A114" s="63" t="s">
        <v>83</v>
      </c>
      <c r="B114" s="63" t="s">
        <v>70</v>
      </c>
      <c r="C114" s="63" t="s">
        <v>2</v>
      </c>
      <c r="D114" s="83">
        <v>424.8</v>
      </c>
      <c r="E114" s="63">
        <v>28781.08</v>
      </c>
      <c r="F114" s="63">
        <v>0</v>
      </c>
      <c r="G114" s="63">
        <v>0</v>
      </c>
      <c r="H114" s="63">
        <v>28781.08</v>
      </c>
      <c r="I114" s="63">
        <v>23518.39</v>
      </c>
      <c r="J114" s="66">
        <f t="shared" si="14"/>
        <v>1886.112</v>
      </c>
      <c r="K114" s="66">
        <f t="shared" si="15"/>
        <v>6066.144</v>
      </c>
      <c r="L114" s="66">
        <f t="shared" si="16"/>
        <v>6015.168</v>
      </c>
      <c r="M114" s="66">
        <f t="shared" si="17"/>
        <v>1325.3760000000002</v>
      </c>
      <c r="N114" s="66">
        <f t="shared" si="18"/>
        <v>305.856</v>
      </c>
      <c r="O114" s="66">
        <f t="shared" si="19"/>
        <v>934.56</v>
      </c>
      <c r="P114" s="66">
        <v>115.52</v>
      </c>
      <c r="Q114" s="63"/>
      <c r="R114" s="63">
        <v>9550</v>
      </c>
      <c r="S114" s="66">
        <f>D114*0.55*8+D114*0.59</f>
        <v>2119.752</v>
      </c>
      <c r="T114" s="67">
        <f>SUM(J114:S114)</f>
        <v>28318.488</v>
      </c>
      <c r="U114" s="67"/>
      <c r="V114" s="67">
        <f>D114*3*8+D114*3.56*4</f>
        <v>16244.352</v>
      </c>
      <c r="W114" s="55">
        <v>50452</v>
      </c>
      <c r="X114" s="56">
        <v>2278</v>
      </c>
      <c r="Y114" s="56"/>
      <c r="Z114" s="56"/>
      <c r="AA114" s="56"/>
      <c r="AB114" s="56"/>
      <c r="AC114" s="56">
        <v>695</v>
      </c>
      <c r="AD114" s="56"/>
      <c r="AE114" s="56"/>
      <c r="AF114" s="56"/>
      <c r="AG114" s="56"/>
      <c r="AH114" s="56">
        <v>14820</v>
      </c>
      <c r="AI114" s="56"/>
      <c r="AJ114" s="56"/>
      <c r="AK114" s="56"/>
      <c r="AL114" s="67">
        <f t="shared" si="13"/>
        <v>68245</v>
      </c>
    </row>
    <row r="115" spans="1:38" ht="15.75">
      <c r="A115" s="63" t="s">
        <v>83</v>
      </c>
      <c r="B115" s="63" t="s">
        <v>9</v>
      </c>
      <c r="C115" s="63" t="s">
        <v>2</v>
      </c>
      <c r="D115" s="83">
        <v>3200.3</v>
      </c>
      <c r="E115" s="63">
        <v>198118.73</v>
      </c>
      <c r="F115" s="63">
        <v>-7229.16</v>
      </c>
      <c r="G115" s="63">
        <v>0</v>
      </c>
      <c r="H115" s="63">
        <v>190889.57</v>
      </c>
      <c r="I115" s="63">
        <v>183424.89</v>
      </c>
      <c r="J115" s="66">
        <f t="shared" si="14"/>
        <v>14209.332</v>
      </c>
      <c r="K115" s="66">
        <f t="shared" si="15"/>
        <v>45700.284</v>
      </c>
      <c r="L115" s="66">
        <f t="shared" si="16"/>
        <v>45316.248</v>
      </c>
      <c r="M115" s="66">
        <f t="shared" si="17"/>
        <v>9984.936000000002</v>
      </c>
      <c r="N115" s="66">
        <f t="shared" si="18"/>
        <v>2304.216</v>
      </c>
      <c r="O115" s="66">
        <f t="shared" si="19"/>
        <v>7040.66</v>
      </c>
      <c r="P115" s="66">
        <v>1155.2</v>
      </c>
      <c r="Q115" s="63"/>
      <c r="R115" s="63"/>
      <c r="S115" s="66">
        <f>D115*0.55*8+D115*0.59</f>
        <v>15969.497000000001</v>
      </c>
      <c r="T115" s="67">
        <f>SUM(J115:S115)</f>
        <v>141680.373</v>
      </c>
      <c r="U115" s="67">
        <f>D115*1.34*8+D115*1.45*4</f>
        <v>52868.956000000006</v>
      </c>
      <c r="V115" s="67">
        <f>D115*3*8+D115*3.56*4</f>
        <v>122379.47200000001</v>
      </c>
      <c r="W115" s="55"/>
      <c r="X115" s="56"/>
      <c r="Y115" s="56"/>
      <c r="Z115" s="56"/>
      <c r="AA115" s="56"/>
      <c r="AB115" s="56"/>
      <c r="AC115" s="56"/>
      <c r="AD115" s="56"/>
      <c r="AE115" s="56"/>
      <c r="AF115" s="56">
        <v>6464</v>
      </c>
      <c r="AG115" s="56"/>
      <c r="AH115" s="56">
        <v>6534</v>
      </c>
      <c r="AI115" s="56"/>
      <c r="AJ115" s="56"/>
      <c r="AK115" s="56"/>
      <c r="AL115" s="67">
        <f t="shared" si="13"/>
        <v>12998</v>
      </c>
    </row>
    <row r="116" spans="1:38" ht="15.75">
      <c r="A116" s="63" t="s">
        <v>83</v>
      </c>
      <c r="B116" s="63" t="s">
        <v>10</v>
      </c>
      <c r="C116" s="63" t="s">
        <v>2</v>
      </c>
      <c r="D116" s="83">
        <v>3200.3</v>
      </c>
      <c r="E116" s="63">
        <v>163936.64</v>
      </c>
      <c r="F116" s="63">
        <v>0</v>
      </c>
      <c r="G116" s="63">
        <v>1270</v>
      </c>
      <c r="H116" s="63">
        <v>162666.64</v>
      </c>
      <c r="I116" s="63">
        <v>157344.46</v>
      </c>
      <c r="J116" s="66">
        <f t="shared" si="14"/>
        <v>14209.332</v>
      </c>
      <c r="K116" s="66">
        <f t="shared" si="15"/>
        <v>45700.284</v>
      </c>
      <c r="L116" s="66">
        <f t="shared" si="16"/>
        <v>45316.248</v>
      </c>
      <c r="M116" s="66">
        <f t="shared" si="17"/>
        <v>9984.936000000002</v>
      </c>
      <c r="N116" s="66">
        <f t="shared" si="18"/>
        <v>2304.216</v>
      </c>
      <c r="O116" s="66">
        <f t="shared" si="19"/>
        <v>7040.66</v>
      </c>
      <c r="P116" s="66">
        <v>1155.2</v>
      </c>
      <c r="Q116" s="66">
        <v>10048.8</v>
      </c>
      <c r="R116" s="63"/>
      <c r="S116" s="66">
        <f>D116*0.55*8+D116*0.59</f>
        <v>15969.497000000001</v>
      </c>
      <c r="T116" s="67">
        <f>SUM(J116:S116)</f>
        <v>151729.173</v>
      </c>
      <c r="U116" s="67">
        <f>D116*1.34*8+D116*1.45*4</f>
        <v>52868.956000000006</v>
      </c>
      <c r="V116" s="67">
        <f>D116*3*8+D116*3.56*4</f>
        <v>122379.47200000001</v>
      </c>
      <c r="W116" s="55"/>
      <c r="X116" s="56"/>
      <c r="Y116" s="56"/>
      <c r="Z116" s="56">
        <v>1741</v>
      </c>
      <c r="AA116" s="56"/>
      <c r="AB116" s="56"/>
      <c r="AC116" s="56"/>
      <c r="AD116" s="56"/>
      <c r="AE116" s="56"/>
      <c r="AF116" s="56"/>
      <c r="AG116" s="56">
        <v>3519</v>
      </c>
      <c r="AH116" s="56"/>
      <c r="AI116" s="56"/>
      <c r="AJ116" s="56"/>
      <c r="AK116" s="56"/>
      <c r="AL116" s="67">
        <f t="shared" si="13"/>
        <v>5260</v>
      </c>
    </row>
    <row r="117" spans="1:38" ht="15.75">
      <c r="A117" s="63" t="s">
        <v>83</v>
      </c>
      <c r="B117" s="63" t="s">
        <v>13</v>
      </c>
      <c r="C117" s="63" t="s">
        <v>2</v>
      </c>
      <c r="D117" s="83">
        <v>3181.3</v>
      </c>
      <c r="E117" s="63">
        <v>170924.92</v>
      </c>
      <c r="F117" s="63">
        <v>-5106.28</v>
      </c>
      <c r="G117" s="63">
        <v>0</v>
      </c>
      <c r="H117" s="63">
        <v>165818.64</v>
      </c>
      <c r="I117" s="63">
        <v>170822.16</v>
      </c>
      <c r="J117" s="66">
        <f t="shared" si="14"/>
        <v>14124.972000000002</v>
      </c>
      <c r="K117" s="66">
        <f t="shared" si="15"/>
        <v>45428.964</v>
      </c>
      <c r="L117" s="66">
        <f t="shared" si="16"/>
        <v>45047.208</v>
      </c>
      <c r="M117" s="66">
        <f t="shared" si="17"/>
        <v>9925.656</v>
      </c>
      <c r="N117" s="66">
        <f t="shared" si="18"/>
        <v>2290.536</v>
      </c>
      <c r="O117" s="66">
        <f t="shared" si="19"/>
        <v>6998.860000000001</v>
      </c>
      <c r="P117" s="66">
        <v>1155.2</v>
      </c>
      <c r="Q117" s="63"/>
      <c r="R117" s="63"/>
      <c r="S117" s="66">
        <f>D117*0.55*8+D117*0.59</f>
        <v>15874.687000000002</v>
      </c>
      <c r="T117" s="67">
        <f>SUM(J117:S117)</f>
        <v>140846.083</v>
      </c>
      <c r="U117" s="67">
        <f>D117*1.34*8+D117*1.45*4</f>
        <v>52555.07600000001</v>
      </c>
      <c r="V117" s="67">
        <f>D117*3*8+D117*3.56*4</f>
        <v>121652.91200000001</v>
      </c>
      <c r="W117" s="55"/>
      <c r="X117" s="56"/>
      <c r="Y117" s="56"/>
      <c r="Z117" s="56"/>
      <c r="AA117" s="56"/>
      <c r="AB117" s="56"/>
      <c r="AC117" s="56"/>
      <c r="AD117" s="56"/>
      <c r="AE117" s="56"/>
      <c r="AF117" s="56">
        <v>3232</v>
      </c>
      <c r="AG117" s="56"/>
      <c r="AH117" s="56">
        <v>6750</v>
      </c>
      <c r="AI117" s="56">
        <v>78</v>
      </c>
      <c r="AJ117" s="56"/>
      <c r="AK117" s="56"/>
      <c r="AL117" s="67">
        <f t="shared" si="13"/>
        <v>10060</v>
      </c>
    </row>
    <row r="118" spans="1:38" ht="15.75">
      <c r="A118" s="63" t="s">
        <v>83</v>
      </c>
      <c r="B118" s="63" t="s">
        <v>15</v>
      </c>
      <c r="C118" s="63" t="s">
        <v>2</v>
      </c>
      <c r="D118" s="83">
        <v>3172.8</v>
      </c>
      <c r="E118" s="63">
        <v>184216.92</v>
      </c>
      <c r="F118" s="63">
        <v>0</v>
      </c>
      <c r="G118" s="63">
        <v>0</v>
      </c>
      <c r="H118" s="63">
        <v>184216.92</v>
      </c>
      <c r="I118" s="63">
        <v>180733.07</v>
      </c>
      <c r="J118" s="66">
        <f t="shared" si="14"/>
        <v>14087.232</v>
      </c>
      <c r="K118" s="66">
        <f t="shared" si="15"/>
        <v>45307.584</v>
      </c>
      <c r="L118" s="66">
        <f t="shared" si="16"/>
        <v>44926.848</v>
      </c>
      <c r="M118" s="66">
        <f t="shared" si="17"/>
        <v>9899.136000000002</v>
      </c>
      <c r="N118" s="66">
        <f t="shared" si="18"/>
        <v>2284.416</v>
      </c>
      <c r="O118" s="66">
        <f t="shared" si="19"/>
        <v>6980.16</v>
      </c>
      <c r="P118" s="66">
        <v>1155.2</v>
      </c>
      <c r="Q118" s="63"/>
      <c r="R118" s="63"/>
      <c r="S118" s="66">
        <f>D118*0.55*8+D118*0.59</f>
        <v>15832.272</v>
      </c>
      <c r="T118" s="67">
        <f>SUM(J118:S118)</f>
        <v>140472.848</v>
      </c>
      <c r="U118" s="67">
        <f>D118*1.34*8+D118*1.45*4</f>
        <v>52414.656</v>
      </c>
      <c r="V118" s="67">
        <f>D118*3*8+D118*3.56*4</f>
        <v>121327.87200000002</v>
      </c>
      <c r="W118" s="55"/>
      <c r="X118" s="56"/>
      <c r="Y118" s="56"/>
      <c r="Z118" s="56"/>
      <c r="AA118" s="56">
        <v>399</v>
      </c>
      <c r="AB118" s="56">
        <v>8174</v>
      </c>
      <c r="AC118" s="56"/>
      <c r="AD118" s="56"/>
      <c r="AE118" s="56"/>
      <c r="AF118" s="56">
        <v>8733</v>
      </c>
      <c r="AG118" s="56"/>
      <c r="AH118" s="56"/>
      <c r="AI118" s="56"/>
      <c r="AJ118" s="56"/>
      <c r="AK118" s="56"/>
      <c r="AL118" s="67">
        <f t="shared" si="13"/>
        <v>17306</v>
      </c>
    </row>
    <row r="119" spans="1:38" ht="15.75">
      <c r="A119" s="63" t="s">
        <v>83</v>
      </c>
      <c r="B119" s="63" t="s">
        <v>84</v>
      </c>
      <c r="C119" s="63" t="s">
        <v>2</v>
      </c>
      <c r="D119" s="83">
        <v>3515.1</v>
      </c>
      <c r="E119" s="63">
        <v>196804.29</v>
      </c>
      <c r="F119" s="63">
        <v>0</v>
      </c>
      <c r="G119" s="63">
        <v>3451.8</v>
      </c>
      <c r="H119" s="63">
        <v>193352.49</v>
      </c>
      <c r="I119" s="63">
        <v>183674.76</v>
      </c>
      <c r="J119" s="66">
        <f t="shared" si="14"/>
        <v>15607.044</v>
      </c>
      <c r="K119" s="66">
        <f t="shared" si="15"/>
        <v>50195.628</v>
      </c>
      <c r="L119" s="66">
        <f t="shared" si="16"/>
        <v>49773.81599999999</v>
      </c>
      <c r="M119" s="66">
        <f t="shared" si="17"/>
        <v>10967.112000000001</v>
      </c>
      <c r="N119" s="66">
        <f t="shared" si="18"/>
        <v>2530.872</v>
      </c>
      <c r="O119" s="66">
        <f t="shared" si="19"/>
        <v>7733.219999999999</v>
      </c>
      <c r="P119" s="66">
        <v>1155.2</v>
      </c>
      <c r="Q119" s="63">
        <v>13063.44</v>
      </c>
      <c r="R119" s="63"/>
      <c r="S119" s="66">
        <f>D119*0.55*8+D119*0.59</f>
        <v>17540.349000000002</v>
      </c>
      <c r="T119" s="67">
        <f>SUM(J119:S119)</f>
        <v>168566.68099999998</v>
      </c>
      <c r="U119" s="67">
        <f>D119*1.34*8+D119*1.45*4</f>
        <v>58069.452000000005</v>
      </c>
      <c r="V119" s="67">
        <f>D119*3*8+D119*3.56*4</f>
        <v>134417.424</v>
      </c>
      <c r="W119" s="55">
        <v>10657</v>
      </c>
      <c r="X119" s="56">
        <v>12529</v>
      </c>
      <c r="Y119" s="56"/>
      <c r="Z119" s="56">
        <v>44277</v>
      </c>
      <c r="AA119" s="56">
        <v>256053</v>
      </c>
      <c r="AB119" s="56"/>
      <c r="AC119" s="56">
        <v>3451</v>
      </c>
      <c r="AD119" s="56"/>
      <c r="AE119" s="56"/>
      <c r="AF119" s="56">
        <v>5542</v>
      </c>
      <c r="AG119" s="56"/>
      <c r="AH119" s="56">
        <v>3049</v>
      </c>
      <c r="AI119" s="56"/>
      <c r="AJ119" s="56"/>
      <c r="AK119" s="56"/>
      <c r="AL119" s="67">
        <f t="shared" si="13"/>
        <v>335558</v>
      </c>
    </row>
    <row r="120" spans="1:38" ht="15.75">
      <c r="A120" s="63" t="s">
        <v>83</v>
      </c>
      <c r="B120" s="63" t="s">
        <v>85</v>
      </c>
      <c r="C120" s="63" t="s">
        <v>2</v>
      </c>
      <c r="D120" s="83">
        <v>3499.1</v>
      </c>
      <c r="E120" s="63">
        <v>200851.04</v>
      </c>
      <c r="F120" s="63">
        <v>0</v>
      </c>
      <c r="G120" s="63">
        <v>0</v>
      </c>
      <c r="H120" s="63">
        <v>200851.04</v>
      </c>
      <c r="I120" s="63">
        <v>185655.15</v>
      </c>
      <c r="J120" s="66">
        <f t="shared" si="14"/>
        <v>15536.004</v>
      </c>
      <c r="K120" s="66">
        <f t="shared" si="15"/>
        <v>49967.148</v>
      </c>
      <c r="L120" s="66">
        <f t="shared" si="16"/>
        <v>49547.256</v>
      </c>
      <c r="M120" s="66">
        <f t="shared" si="17"/>
        <v>10917.192</v>
      </c>
      <c r="N120" s="66">
        <f t="shared" si="18"/>
        <v>2519.352</v>
      </c>
      <c r="O120" s="66">
        <f t="shared" si="19"/>
        <v>7698.0199999999995</v>
      </c>
      <c r="P120" s="66">
        <v>1155.2</v>
      </c>
      <c r="Q120" s="63"/>
      <c r="R120" s="63"/>
      <c r="S120" s="66">
        <f>D120*0.55*8+D120*0.59</f>
        <v>17460.509000000002</v>
      </c>
      <c r="T120" s="67">
        <f>SUM(J120:S120)</f>
        <v>154800.68099999998</v>
      </c>
      <c r="U120" s="67">
        <f>D120*1.34*8+D120*1.45*4</f>
        <v>57805.132</v>
      </c>
      <c r="V120" s="67">
        <f>D120*3*8+D120*3.56*4</f>
        <v>133805.584</v>
      </c>
      <c r="W120" s="55"/>
      <c r="X120" s="56"/>
      <c r="Y120" s="56"/>
      <c r="Z120" s="56"/>
      <c r="AA120" s="56"/>
      <c r="AB120" s="56">
        <v>3024</v>
      </c>
      <c r="AC120" s="56"/>
      <c r="AD120" s="56"/>
      <c r="AE120" s="56"/>
      <c r="AF120" s="56"/>
      <c r="AG120" s="56"/>
      <c r="AH120" s="56"/>
      <c r="AI120" s="56"/>
      <c r="AJ120" s="56"/>
      <c r="AK120" s="56"/>
      <c r="AL120" s="67">
        <f t="shared" si="13"/>
        <v>3024</v>
      </c>
    </row>
    <row r="121" spans="1:38" ht="15.75">
      <c r="A121" s="63" t="s">
        <v>86</v>
      </c>
      <c r="B121" s="63" t="s">
        <v>1</v>
      </c>
      <c r="C121" s="63" t="s">
        <v>2</v>
      </c>
      <c r="D121" s="83">
        <v>2888.6</v>
      </c>
      <c r="E121" s="63">
        <v>183930.6</v>
      </c>
      <c r="F121" s="63">
        <v>0</v>
      </c>
      <c r="G121" s="63">
        <v>6098.16</v>
      </c>
      <c r="H121" s="63">
        <v>177832.44</v>
      </c>
      <c r="I121" s="63">
        <v>166308.34</v>
      </c>
      <c r="J121" s="66">
        <f t="shared" si="14"/>
        <v>12825.384</v>
      </c>
      <c r="K121" s="66">
        <f t="shared" si="15"/>
        <v>41249.208</v>
      </c>
      <c r="L121" s="66">
        <f t="shared" si="16"/>
        <v>40902.576</v>
      </c>
      <c r="M121" s="66">
        <f t="shared" si="17"/>
        <v>9012.432</v>
      </c>
      <c r="N121" s="66">
        <f t="shared" si="18"/>
        <v>2079.7919999999995</v>
      </c>
      <c r="O121" s="66">
        <f t="shared" si="19"/>
        <v>6354.92</v>
      </c>
      <c r="P121" s="66">
        <v>1643.52</v>
      </c>
      <c r="Q121" s="63">
        <v>5359.36</v>
      </c>
      <c r="R121" s="63"/>
      <c r="S121" s="66">
        <f>D121*0.55*8+D121*0.59</f>
        <v>14414.114</v>
      </c>
      <c r="T121" s="67">
        <f>SUM(J121:S121)</f>
        <v>133841.306</v>
      </c>
      <c r="U121" s="67">
        <f>D121*1.34*8+D121*1.45*4</f>
        <v>47719.672</v>
      </c>
      <c r="V121" s="67">
        <f>D121*3*8+D121*3.56*4</f>
        <v>110460.06399999998</v>
      </c>
      <c r="W121" s="55">
        <v>8119</v>
      </c>
      <c r="X121" s="56"/>
      <c r="Y121" s="56"/>
      <c r="Z121" s="56"/>
      <c r="AA121" s="56"/>
      <c r="AB121" s="56">
        <v>14349</v>
      </c>
      <c r="AC121" s="56"/>
      <c r="AD121" s="56"/>
      <c r="AE121" s="56"/>
      <c r="AF121" s="56">
        <v>11636</v>
      </c>
      <c r="AG121" s="56"/>
      <c r="AH121" s="56">
        <v>2033</v>
      </c>
      <c r="AI121" s="56"/>
      <c r="AJ121" s="56">
        <v>2228</v>
      </c>
      <c r="AK121" s="56"/>
      <c r="AL121" s="67">
        <f t="shared" si="13"/>
        <v>38365</v>
      </c>
    </row>
    <row r="122" spans="1:38" ht="15.75">
      <c r="A122" s="63" t="s">
        <v>86</v>
      </c>
      <c r="B122" s="63" t="s">
        <v>87</v>
      </c>
      <c r="C122" s="63" t="s">
        <v>2</v>
      </c>
      <c r="D122" s="83">
        <v>2559.6</v>
      </c>
      <c r="E122" s="63">
        <v>162050.53</v>
      </c>
      <c r="F122" s="63">
        <v>0</v>
      </c>
      <c r="G122" s="63">
        <v>3381.2</v>
      </c>
      <c r="H122" s="63">
        <v>158669.33</v>
      </c>
      <c r="I122" s="63">
        <v>151341.4</v>
      </c>
      <c r="J122" s="66">
        <f t="shared" si="14"/>
        <v>11364.624</v>
      </c>
      <c r="K122" s="66">
        <f t="shared" si="15"/>
        <v>36551.088</v>
      </c>
      <c r="L122" s="66">
        <f t="shared" si="16"/>
        <v>36243.935999999994</v>
      </c>
      <c r="M122" s="66">
        <f t="shared" si="17"/>
        <v>7985.951999999999</v>
      </c>
      <c r="N122" s="66">
        <f t="shared" si="18"/>
        <v>1842.9119999999998</v>
      </c>
      <c r="O122" s="66">
        <f t="shared" si="19"/>
        <v>5631.12</v>
      </c>
      <c r="P122" s="66">
        <v>1420.2</v>
      </c>
      <c r="Q122" s="66">
        <v>10048.8</v>
      </c>
      <c r="R122" s="63">
        <v>22175</v>
      </c>
      <c r="S122" s="66">
        <f>D122*0.55*8+D122*0.59</f>
        <v>12772.403999999999</v>
      </c>
      <c r="T122" s="67">
        <f>SUM(J122:S122)</f>
        <v>146036.036</v>
      </c>
      <c r="U122" s="67">
        <f>D122*1.34*8+D122*1.45*4</f>
        <v>42284.592</v>
      </c>
      <c r="V122" s="67">
        <f>D122*3*8+D122*3.56*4</f>
        <v>97879.10399999999</v>
      </c>
      <c r="W122" s="55">
        <v>12990</v>
      </c>
      <c r="X122" s="56">
        <v>10187</v>
      </c>
      <c r="Y122" s="56"/>
      <c r="Z122" s="56"/>
      <c r="AA122" s="56"/>
      <c r="AB122" s="56">
        <v>668</v>
      </c>
      <c r="AC122" s="56">
        <v>8786</v>
      </c>
      <c r="AD122" s="56"/>
      <c r="AE122" s="56"/>
      <c r="AF122" s="56"/>
      <c r="AG122" s="56"/>
      <c r="AH122" s="56"/>
      <c r="AI122" s="56"/>
      <c r="AJ122" s="56"/>
      <c r="AK122" s="56"/>
      <c r="AL122" s="67">
        <f t="shared" si="13"/>
        <v>32631</v>
      </c>
    </row>
    <row r="123" spans="1:38" ht="15.75">
      <c r="A123" s="63" t="s">
        <v>86</v>
      </c>
      <c r="B123" s="63" t="s">
        <v>88</v>
      </c>
      <c r="C123" s="63" t="s">
        <v>2</v>
      </c>
      <c r="D123" s="83">
        <v>2587.6</v>
      </c>
      <c r="E123" s="63">
        <v>153925.76</v>
      </c>
      <c r="F123" s="63">
        <v>0</v>
      </c>
      <c r="G123" s="63">
        <v>0</v>
      </c>
      <c r="H123" s="63">
        <v>153925.76</v>
      </c>
      <c r="I123" s="63">
        <v>146557.47</v>
      </c>
      <c r="J123" s="66">
        <f t="shared" si="14"/>
        <v>11488.944</v>
      </c>
      <c r="K123" s="66">
        <f t="shared" si="15"/>
        <v>36950.928</v>
      </c>
      <c r="L123" s="66">
        <f t="shared" si="16"/>
        <v>36640.416</v>
      </c>
      <c r="M123" s="66">
        <f t="shared" si="17"/>
        <v>8073.312</v>
      </c>
      <c r="N123" s="66">
        <f t="shared" si="18"/>
        <v>1863.0720000000001</v>
      </c>
      <c r="O123" s="66">
        <f t="shared" si="19"/>
        <v>5692.719999999999</v>
      </c>
      <c r="P123" s="66">
        <v>1420.2</v>
      </c>
      <c r="Q123" s="66">
        <v>10048.8</v>
      </c>
      <c r="R123" s="63">
        <v>22175</v>
      </c>
      <c r="S123" s="66">
        <f>D123*0.55*8+D123*0.59</f>
        <v>12912.124</v>
      </c>
      <c r="T123" s="67">
        <f>SUM(J123:S123)</f>
        <v>147265.516</v>
      </c>
      <c r="U123" s="67">
        <f>D123*1.34*8+D123*1.45*4</f>
        <v>42747.152</v>
      </c>
      <c r="V123" s="67">
        <f>D123*3*8+D123*3.56*4</f>
        <v>98949.824</v>
      </c>
      <c r="W123" s="55">
        <v>4006</v>
      </c>
      <c r="X123" s="56">
        <v>32899</v>
      </c>
      <c r="Y123" s="56"/>
      <c r="Z123" s="56"/>
      <c r="AA123" s="56"/>
      <c r="AB123" s="56">
        <v>14508</v>
      </c>
      <c r="AC123" s="56">
        <v>6532</v>
      </c>
      <c r="AD123" s="56"/>
      <c r="AE123" s="56"/>
      <c r="AF123" s="56"/>
      <c r="AG123" s="56"/>
      <c r="AH123" s="56">
        <v>216</v>
      </c>
      <c r="AI123" s="56"/>
      <c r="AJ123" s="56"/>
      <c r="AK123" s="56"/>
      <c r="AL123" s="67">
        <f t="shared" si="13"/>
        <v>58161</v>
      </c>
    </row>
    <row r="124" spans="1:38" ht="15.75">
      <c r="A124" s="63" t="s">
        <v>86</v>
      </c>
      <c r="B124" s="63" t="s">
        <v>72</v>
      </c>
      <c r="C124" s="63" t="s">
        <v>2</v>
      </c>
      <c r="D124" s="83">
        <v>2873.4</v>
      </c>
      <c r="E124" s="63">
        <v>173871.17</v>
      </c>
      <c r="F124" s="63">
        <v>-5484.88</v>
      </c>
      <c r="G124" s="63">
        <v>0</v>
      </c>
      <c r="H124" s="63">
        <v>168386.29</v>
      </c>
      <c r="I124" s="63">
        <v>153480.74</v>
      </c>
      <c r="J124" s="66">
        <f t="shared" si="14"/>
        <v>12757.896</v>
      </c>
      <c r="K124" s="66">
        <f t="shared" si="15"/>
        <v>41032.152</v>
      </c>
      <c r="L124" s="66">
        <f t="shared" si="16"/>
        <v>40687.344</v>
      </c>
      <c r="M124" s="66">
        <f t="shared" si="17"/>
        <v>8965.008000000002</v>
      </c>
      <c r="N124" s="66">
        <f t="shared" si="18"/>
        <v>2068.848</v>
      </c>
      <c r="O124" s="66">
        <f t="shared" si="19"/>
        <v>6321.48</v>
      </c>
      <c r="P124" s="66">
        <v>1643.52</v>
      </c>
      <c r="Q124" s="63">
        <v>5359.36</v>
      </c>
      <c r="R124" s="63">
        <v>30800</v>
      </c>
      <c r="S124" s="66">
        <f>D124*0.55*8+D124*0.59</f>
        <v>14338.266000000001</v>
      </c>
      <c r="T124" s="67">
        <f>SUM(J124:S124)</f>
        <v>163973.874</v>
      </c>
      <c r="U124" s="67">
        <f>D124*1.34*8+D124*1.45*4</f>
        <v>47468.568</v>
      </c>
      <c r="V124" s="67">
        <f>D124*3*8+D124*3.56*4</f>
        <v>109878.816</v>
      </c>
      <c r="W124" s="55"/>
      <c r="X124" s="56">
        <v>13597</v>
      </c>
      <c r="Y124" s="56"/>
      <c r="Z124" s="56">
        <v>1540</v>
      </c>
      <c r="AA124" s="56">
        <v>13587</v>
      </c>
      <c r="AB124" s="56">
        <v>20452</v>
      </c>
      <c r="AC124" s="56">
        <v>4357</v>
      </c>
      <c r="AD124" s="56"/>
      <c r="AE124" s="56"/>
      <c r="AF124" s="56"/>
      <c r="AG124" s="56"/>
      <c r="AH124" s="56">
        <v>5227</v>
      </c>
      <c r="AI124" s="56"/>
      <c r="AJ124" s="56">
        <v>292</v>
      </c>
      <c r="AK124" s="56"/>
      <c r="AL124" s="67">
        <f t="shared" si="13"/>
        <v>59052</v>
      </c>
    </row>
    <row r="125" spans="1:38" ht="15.75">
      <c r="A125" s="63" t="s">
        <v>86</v>
      </c>
      <c r="B125" s="63" t="s">
        <v>44</v>
      </c>
      <c r="C125" s="63" t="s">
        <v>2</v>
      </c>
      <c r="D125" s="83">
        <v>3552.5</v>
      </c>
      <c r="E125" s="63">
        <v>200039.68</v>
      </c>
      <c r="F125" s="63">
        <v>0</v>
      </c>
      <c r="G125" s="63">
        <v>0</v>
      </c>
      <c r="H125" s="63">
        <v>200039.68</v>
      </c>
      <c r="I125" s="63">
        <v>197250.68</v>
      </c>
      <c r="J125" s="66">
        <f t="shared" si="14"/>
        <v>15773.099999999999</v>
      </c>
      <c r="K125" s="66">
        <f t="shared" si="15"/>
        <v>50729.7</v>
      </c>
      <c r="L125" s="66">
        <f t="shared" si="16"/>
        <v>50303.399999999994</v>
      </c>
      <c r="M125" s="66">
        <f t="shared" si="17"/>
        <v>11083.8</v>
      </c>
      <c r="N125" s="66">
        <f t="shared" si="18"/>
        <v>2557.8</v>
      </c>
      <c r="O125" s="66">
        <f t="shared" si="19"/>
        <v>7815.5</v>
      </c>
      <c r="P125" s="66"/>
      <c r="Q125" s="63"/>
      <c r="R125" s="63"/>
      <c r="S125" s="66">
        <f>D125*0.55*8+D125*0.59</f>
        <v>17726.975000000002</v>
      </c>
      <c r="T125" s="67">
        <f>SUM(J125:S125)</f>
        <v>155990.275</v>
      </c>
      <c r="U125" s="67">
        <f>D125*1.34*8+D125*1.45*4</f>
        <v>58687.3</v>
      </c>
      <c r="V125" s="67">
        <f>D125*3*8+D125*3.56*4</f>
        <v>135847.6</v>
      </c>
      <c r="W125" s="55">
        <v>22802</v>
      </c>
      <c r="X125" s="56"/>
      <c r="Y125" s="56"/>
      <c r="Z125" s="56">
        <v>4121</v>
      </c>
      <c r="AA125" s="56">
        <v>5207</v>
      </c>
      <c r="AB125" s="56"/>
      <c r="AC125" s="56"/>
      <c r="AD125" s="56"/>
      <c r="AE125" s="56">
        <v>43733</v>
      </c>
      <c r="AF125" s="56">
        <v>18718</v>
      </c>
      <c r="AG125" s="56"/>
      <c r="AH125" s="56">
        <v>5147</v>
      </c>
      <c r="AI125" s="56"/>
      <c r="AJ125" s="56"/>
      <c r="AK125" s="56"/>
      <c r="AL125" s="67">
        <f t="shared" si="13"/>
        <v>99728</v>
      </c>
    </row>
    <row r="126" spans="1:38" ht="15.75">
      <c r="A126" s="63" t="s">
        <v>86</v>
      </c>
      <c r="B126" s="63" t="s">
        <v>3</v>
      </c>
      <c r="C126" s="63" t="s">
        <v>2</v>
      </c>
      <c r="D126" s="84">
        <v>2863.5</v>
      </c>
      <c r="E126" s="63">
        <v>176664.45</v>
      </c>
      <c r="F126" s="63">
        <v>0</v>
      </c>
      <c r="G126" s="63">
        <v>0</v>
      </c>
      <c r="H126" s="63">
        <v>176664.45</v>
      </c>
      <c r="I126" s="63">
        <v>168665.15</v>
      </c>
      <c r="J126" s="66">
        <f t="shared" si="14"/>
        <v>12713.939999999999</v>
      </c>
      <c r="K126" s="66">
        <f t="shared" si="15"/>
        <v>40890.78</v>
      </c>
      <c r="L126" s="66">
        <f t="shared" si="16"/>
        <v>40547.159999999996</v>
      </c>
      <c r="M126" s="66">
        <f t="shared" si="17"/>
        <v>8934.119999999999</v>
      </c>
      <c r="N126" s="66">
        <f t="shared" si="18"/>
        <v>2061.7200000000003</v>
      </c>
      <c r="O126" s="66">
        <f t="shared" si="19"/>
        <v>6299.7</v>
      </c>
      <c r="P126" s="66">
        <v>1643.52</v>
      </c>
      <c r="Q126" s="63">
        <v>5359.36</v>
      </c>
      <c r="R126" s="63">
        <v>30800</v>
      </c>
      <c r="S126" s="66">
        <f>D126*0.55*8+D126*0.59</f>
        <v>14288.865000000002</v>
      </c>
      <c r="T126" s="67">
        <f>SUM(J126:S126)</f>
        <v>163539.16499999998</v>
      </c>
      <c r="U126" s="67">
        <f>D126*1.34*8+D126*1.45*4</f>
        <v>47305.020000000004</v>
      </c>
      <c r="V126" s="67">
        <f>D126*3*8+D126*3.56*4</f>
        <v>109500.23999999999</v>
      </c>
      <c r="W126" s="55">
        <v>111608</v>
      </c>
      <c r="X126" s="56"/>
      <c r="Y126" s="56"/>
      <c r="Z126" s="56">
        <v>1952</v>
      </c>
      <c r="AA126" s="56">
        <v>4963</v>
      </c>
      <c r="AB126" s="56">
        <v>14923</v>
      </c>
      <c r="AC126" s="56"/>
      <c r="AD126" s="56"/>
      <c r="AE126" s="56"/>
      <c r="AF126" s="56">
        <v>12476</v>
      </c>
      <c r="AG126" s="56"/>
      <c r="AH126" s="56">
        <v>917</v>
      </c>
      <c r="AI126" s="56">
        <v>49260</v>
      </c>
      <c r="AJ126" s="56"/>
      <c r="AK126" s="56"/>
      <c r="AL126" s="67">
        <f t="shared" si="13"/>
        <v>196099</v>
      </c>
    </row>
    <row r="127" spans="1:38" ht="15.75">
      <c r="A127" s="68" t="s">
        <v>86</v>
      </c>
      <c r="B127" s="68" t="s">
        <v>65</v>
      </c>
      <c r="C127" s="63"/>
      <c r="D127" s="86">
        <v>4333.2</v>
      </c>
      <c r="E127" s="63">
        <v>395663.06</v>
      </c>
      <c r="F127" s="63">
        <v>0</v>
      </c>
      <c r="G127" s="63">
        <v>2051.75</v>
      </c>
      <c r="H127" s="63">
        <v>393611.31</v>
      </c>
      <c r="I127" s="63">
        <v>362290.21</v>
      </c>
      <c r="J127" s="66">
        <f t="shared" si="14"/>
        <v>19239.408</v>
      </c>
      <c r="K127" s="66">
        <f t="shared" si="15"/>
        <v>61878.096</v>
      </c>
      <c r="L127" s="66">
        <f t="shared" si="16"/>
        <v>61358.111999999994</v>
      </c>
      <c r="M127" s="66">
        <f t="shared" si="17"/>
        <v>13519.584</v>
      </c>
      <c r="N127" s="66">
        <f t="shared" si="18"/>
        <v>3119.9039999999995</v>
      </c>
      <c r="O127" s="66">
        <f t="shared" si="19"/>
        <v>9533.039999999999</v>
      </c>
      <c r="P127" s="66"/>
      <c r="Q127" s="63"/>
      <c r="R127" s="63"/>
      <c r="S127" s="66">
        <f>D127*0.55*8+D127*0.59</f>
        <v>21622.668</v>
      </c>
      <c r="T127" s="67">
        <f>SUM(J127:S127)</f>
        <v>190270.812</v>
      </c>
      <c r="U127" s="67">
        <f>D127*1.34*8+D127*1.45*4</f>
        <v>71584.464</v>
      </c>
      <c r="V127" s="67">
        <f>D127*3*8+D127*3.56*4</f>
        <v>165701.56799999997</v>
      </c>
      <c r="W127" s="57">
        <v>6194</v>
      </c>
      <c r="X127" s="56"/>
      <c r="Y127" s="56"/>
      <c r="Z127" s="56">
        <v>1045</v>
      </c>
      <c r="AA127" s="56"/>
      <c r="AB127" s="56"/>
      <c r="AC127" s="56"/>
      <c r="AD127" s="56"/>
      <c r="AE127" s="56">
        <v>26240</v>
      </c>
      <c r="AF127" s="56">
        <v>8774</v>
      </c>
      <c r="AG127" s="56">
        <v>57622</v>
      </c>
      <c r="AH127" s="56">
        <v>1016</v>
      </c>
      <c r="AI127" s="56"/>
      <c r="AJ127" s="56"/>
      <c r="AK127" s="56"/>
      <c r="AL127" s="67">
        <f t="shared" si="13"/>
        <v>100891</v>
      </c>
    </row>
    <row r="128" spans="1:38" ht="15.75">
      <c r="A128" s="63" t="s">
        <v>86</v>
      </c>
      <c r="B128" s="63" t="s">
        <v>73</v>
      </c>
      <c r="C128" s="63" t="s">
        <v>2</v>
      </c>
      <c r="D128" s="83">
        <v>2718.6</v>
      </c>
      <c r="E128" s="63">
        <v>144059.84</v>
      </c>
      <c r="F128" s="63">
        <v>0</v>
      </c>
      <c r="G128" s="63">
        <v>0</v>
      </c>
      <c r="H128" s="63">
        <v>144059.84</v>
      </c>
      <c r="I128" s="63">
        <v>142382.79</v>
      </c>
      <c r="J128" s="66">
        <f t="shared" si="14"/>
        <v>12070.583999999999</v>
      </c>
      <c r="K128" s="66">
        <f t="shared" si="15"/>
        <v>38821.60799999999</v>
      </c>
      <c r="L128" s="66">
        <f t="shared" si="16"/>
        <v>38495.376</v>
      </c>
      <c r="M128" s="66">
        <f t="shared" si="17"/>
        <v>8482.032</v>
      </c>
      <c r="N128" s="66">
        <f t="shared" si="18"/>
        <v>1957.3919999999998</v>
      </c>
      <c r="O128" s="66">
        <f t="shared" si="19"/>
        <v>5980.92</v>
      </c>
      <c r="P128" s="66">
        <v>1366.04</v>
      </c>
      <c r="Q128" s="63"/>
      <c r="R128" s="63">
        <v>34050</v>
      </c>
      <c r="S128" s="66">
        <f>D128*0.55*8+D128*0.59</f>
        <v>13565.814</v>
      </c>
      <c r="T128" s="67">
        <f>SUM(J128:S128)</f>
        <v>154789.766</v>
      </c>
      <c r="U128" s="67">
        <f>D128*1.34*8+D128*1.45*4</f>
        <v>44911.272</v>
      </c>
      <c r="V128" s="67">
        <f>D128*3*8+D128*3.56*4</f>
        <v>103959.264</v>
      </c>
      <c r="W128" s="57">
        <v>15315</v>
      </c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>
        <v>975</v>
      </c>
      <c r="AK128" s="56"/>
      <c r="AL128" s="67">
        <f t="shared" si="13"/>
        <v>16290</v>
      </c>
    </row>
    <row r="129" spans="1:38" ht="15.75">
      <c r="A129" s="63" t="s">
        <v>86</v>
      </c>
      <c r="B129" s="63" t="s">
        <v>92</v>
      </c>
      <c r="C129" s="63" t="s">
        <v>2</v>
      </c>
      <c r="D129" s="83">
        <v>2156.3</v>
      </c>
      <c r="E129" s="63">
        <v>115839.64</v>
      </c>
      <c r="F129" s="63">
        <v>0</v>
      </c>
      <c r="G129" s="63">
        <v>0</v>
      </c>
      <c r="H129" s="63">
        <v>115839.64</v>
      </c>
      <c r="I129" s="63">
        <v>119133.99</v>
      </c>
      <c r="J129" s="66">
        <f>D129*8*0.36+D129*0.39*4</f>
        <v>9573.972000000002</v>
      </c>
      <c r="K129" s="66">
        <f>D129*1.19*12</f>
        <v>30791.964000000004</v>
      </c>
      <c r="L129" s="66">
        <f>D129*1.18*12</f>
        <v>30533.208000000002</v>
      </c>
      <c r="M129" s="66">
        <f>D129*0.26*12</f>
        <v>6727.656000000001</v>
      </c>
      <c r="N129" s="66">
        <f>D129*0.06*12</f>
        <v>1552.536</v>
      </c>
      <c r="O129" s="66">
        <f>D129*0.18*8+D129*0.19*4</f>
        <v>4743.860000000001</v>
      </c>
      <c r="P129" s="66">
        <v>1366.04</v>
      </c>
      <c r="Q129" s="63">
        <v>6029.28</v>
      </c>
      <c r="R129" s="63">
        <v>22525</v>
      </c>
      <c r="S129" s="66">
        <f>D129*0.55*8+D129*0.59</f>
        <v>10759.937000000002</v>
      </c>
      <c r="T129" s="67">
        <f>SUM(J129:S129)</f>
        <v>124603.45300000001</v>
      </c>
      <c r="U129" s="67">
        <f>D129*1.34*8+D129*1.45*4</f>
        <v>35622.076</v>
      </c>
      <c r="V129" s="67">
        <f>D129*3*8+D129*3.56*4</f>
        <v>82456.91200000001</v>
      </c>
      <c r="W129" s="57"/>
      <c r="X129" s="56"/>
      <c r="Y129" s="56"/>
      <c r="Z129" s="56"/>
      <c r="AA129" s="56">
        <v>4950</v>
      </c>
      <c r="AB129" s="56"/>
      <c r="AC129" s="56"/>
      <c r="AD129" s="56"/>
      <c r="AE129" s="56"/>
      <c r="AF129" s="56">
        <v>12895</v>
      </c>
      <c r="AG129" s="56"/>
      <c r="AH129" s="56">
        <v>7035</v>
      </c>
      <c r="AI129" s="56">
        <v>93</v>
      </c>
      <c r="AJ129" s="56">
        <v>6676</v>
      </c>
      <c r="AK129" s="56"/>
      <c r="AL129" s="67">
        <f t="shared" si="13"/>
        <v>31649</v>
      </c>
    </row>
    <row r="130" spans="1:38" ht="15.75">
      <c r="A130" s="63" t="s">
        <v>86</v>
      </c>
      <c r="B130" s="63" t="s">
        <v>93</v>
      </c>
      <c r="C130" s="63" t="s">
        <v>2</v>
      </c>
      <c r="D130" s="83">
        <v>3204</v>
      </c>
      <c r="E130" s="63">
        <v>186615.66</v>
      </c>
      <c r="F130" s="63">
        <v>-5443.32</v>
      </c>
      <c r="G130" s="63">
        <v>1270</v>
      </c>
      <c r="H130" s="63">
        <v>179902.34</v>
      </c>
      <c r="I130" s="63">
        <v>181468.07</v>
      </c>
      <c r="J130" s="66">
        <f>D130*8*0.36+D130*0.39*4</f>
        <v>14225.76</v>
      </c>
      <c r="K130" s="66">
        <f>D130*1.19*12</f>
        <v>45753.119999999995</v>
      </c>
      <c r="L130" s="66">
        <f>D130*1.18*12</f>
        <v>45368.64</v>
      </c>
      <c r="M130" s="66">
        <f>D130*0.26*12</f>
        <v>9996.480000000001</v>
      </c>
      <c r="N130" s="66">
        <f>D130*0.06*12</f>
        <v>2306.8799999999997</v>
      </c>
      <c r="O130" s="66">
        <f>D130*0.18*8+D130*0.19*4</f>
        <v>7048.8</v>
      </c>
      <c r="P130" s="66">
        <v>1366.04</v>
      </c>
      <c r="Q130" s="63">
        <v>7536.6</v>
      </c>
      <c r="R130" s="63">
        <v>30300</v>
      </c>
      <c r="S130" s="66">
        <f>D130*0.55*8+D130*0.59</f>
        <v>15987.960000000001</v>
      </c>
      <c r="T130" s="67">
        <f>SUM(J130:S130)</f>
        <v>179890.27999999997</v>
      </c>
      <c r="U130" s="67">
        <f>D130*1.34*8+D130*1.45*4</f>
        <v>52930.08</v>
      </c>
      <c r="V130" s="67">
        <f>D130*3*8+D130*3.56*4</f>
        <v>122520.95999999999</v>
      </c>
      <c r="W130" s="57">
        <v>4055</v>
      </c>
      <c r="X130" s="56"/>
      <c r="Y130" s="56"/>
      <c r="Z130" s="56"/>
      <c r="AA130" s="56">
        <f>128.385+127.084+234.67+141.786</f>
        <v>631.925</v>
      </c>
      <c r="AB130" s="56"/>
      <c r="AC130" s="56">
        <v>4731</v>
      </c>
      <c r="AD130" s="56"/>
      <c r="AE130" s="56"/>
      <c r="AF130" s="56"/>
      <c r="AG130" s="56"/>
      <c r="AH130" s="56">
        <v>12862</v>
      </c>
      <c r="AI130" s="56">
        <v>8664</v>
      </c>
      <c r="AJ130" s="56">
        <v>20906</v>
      </c>
      <c r="AK130" s="56"/>
      <c r="AL130" s="67">
        <f t="shared" si="13"/>
        <v>51849.925</v>
      </c>
    </row>
    <row r="131" spans="1:38" ht="15.75">
      <c r="A131" s="63" t="s">
        <v>86</v>
      </c>
      <c r="B131" s="63" t="s">
        <v>89</v>
      </c>
      <c r="C131" s="63" t="s">
        <v>2</v>
      </c>
      <c r="D131" s="83">
        <v>3426.2</v>
      </c>
      <c r="E131" s="63">
        <v>199622.16</v>
      </c>
      <c r="F131" s="63">
        <v>0</v>
      </c>
      <c r="G131" s="63">
        <v>2768.04</v>
      </c>
      <c r="H131" s="63">
        <v>196854.12</v>
      </c>
      <c r="I131" s="63">
        <v>194498.16</v>
      </c>
      <c r="J131" s="66">
        <f>D131*8*0.36+D131*0.39*4</f>
        <v>15212.327999999998</v>
      </c>
      <c r="K131" s="66">
        <f>D131*1.19*12</f>
        <v>48926.13599999999</v>
      </c>
      <c r="L131" s="66">
        <f>D131*1.18*12</f>
        <v>48514.992</v>
      </c>
      <c r="M131" s="66">
        <f>D131*0.26*12</f>
        <v>10689.744</v>
      </c>
      <c r="N131" s="66">
        <f>D131*0.06*12</f>
        <v>2466.8639999999996</v>
      </c>
      <c r="O131" s="66">
        <f>D131*0.18*8+D131*0.19*4</f>
        <v>7537.639999999999</v>
      </c>
      <c r="P131" s="66">
        <v>1010.8</v>
      </c>
      <c r="Q131" s="63"/>
      <c r="R131" s="63"/>
      <c r="S131" s="66">
        <f>D131*0.55*8+D131*0.59</f>
        <v>17096.738</v>
      </c>
      <c r="T131" s="67">
        <f>SUM(J131:S131)</f>
        <v>151455.242</v>
      </c>
      <c r="U131" s="67">
        <f>D131*1.34*8+D131*1.45*4</f>
        <v>56600.824</v>
      </c>
      <c r="V131" s="67">
        <f>D131*3*8+D131*3.56*4</f>
        <v>131017.88799999998</v>
      </c>
      <c r="W131" s="57"/>
      <c r="X131" s="56"/>
      <c r="Y131" s="56"/>
      <c r="Z131" s="56"/>
      <c r="AA131" s="56"/>
      <c r="AB131" s="56">
        <v>27168</v>
      </c>
      <c r="AC131" s="56"/>
      <c r="AD131" s="56"/>
      <c r="AE131" s="56">
        <v>26240</v>
      </c>
      <c r="AF131" s="56">
        <v>4848</v>
      </c>
      <c r="AG131" s="56">
        <v>20136</v>
      </c>
      <c r="AH131" s="56">
        <v>8998</v>
      </c>
      <c r="AI131" s="56"/>
      <c r="AJ131" s="56"/>
      <c r="AK131" s="56"/>
      <c r="AL131" s="67">
        <f t="shared" si="13"/>
        <v>87390</v>
      </c>
    </row>
    <row r="132" spans="1:38" ht="15.75">
      <c r="A132" s="63" t="s">
        <v>86</v>
      </c>
      <c r="B132" s="63" t="s">
        <v>16</v>
      </c>
      <c r="C132" s="63" t="s">
        <v>2</v>
      </c>
      <c r="D132" s="83">
        <v>3939.2</v>
      </c>
      <c r="E132" s="63">
        <v>204903.1</v>
      </c>
      <c r="F132" s="63">
        <v>0</v>
      </c>
      <c r="G132" s="63">
        <v>1016</v>
      </c>
      <c r="H132" s="63">
        <v>203887.1</v>
      </c>
      <c r="I132" s="63">
        <v>185657.41</v>
      </c>
      <c r="J132" s="66">
        <f>D132*8*0.36+D132*0.39*4</f>
        <v>17490.048</v>
      </c>
      <c r="K132" s="66">
        <f>D132*1.19*12</f>
        <v>56251.77599999999</v>
      </c>
      <c r="L132" s="66">
        <f>D132*1.18*12</f>
        <v>55779.07199999999</v>
      </c>
      <c r="M132" s="66">
        <f>D132*0.26*12</f>
        <v>12290.304</v>
      </c>
      <c r="N132" s="66">
        <f>D132*0.06*12</f>
        <v>2836.2239999999997</v>
      </c>
      <c r="O132" s="66">
        <f>D132*0.18*8+D132*0.19*4</f>
        <v>8666.24</v>
      </c>
      <c r="P132" s="66">
        <v>1010.8</v>
      </c>
      <c r="Q132" s="63"/>
      <c r="R132" s="63"/>
      <c r="S132" s="66">
        <f>D132*0.55*8+D132*0.59</f>
        <v>19656.608</v>
      </c>
      <c r="T132" s="67">
        <f>SUM(J132:S132)</f>
        <v>173981.07199999996</v>
      </c>
      <c r="U132" s="67">
        <f>D132*1.34*8+D132*1.45*4</f>
        <v>65075.584</v>
      </c>
      <c r="V132" s="67">
        <f>D132*3*8+D132*3.56*4</f>
        <v>150635.00799999997</v>
      </c>
      <c r="W132" s="57"/>
      <c r="X132" s="56"/>
      <c r="Y132" s="56"/>
      <c r="Z132" s="56">
        <v>3210</v>
      </c>
      <c r="AA132" s="56"/>
      <c r="AB132" s="56"/>
      <c r="AC132" s="56">
        <v>8363</v>
      </c>
      <c r="AD132" s="56"/>
      <c r="AE132" s="56"/>
      <c r="AF132" s="56">
        <v>5542</v>
      </c>
      <c r="AG132" s="56"/>
      <c r="AH132" s="56">
        <v>3023</v>
      </c>
      <c r="AI132" s="56"/>
      <c r="AJ132" s="56">
        <v>138</v>
      </c>
      <c r="AK132" s="56"/>
      <c r="AL132" s="67">
        <f t="shared" si="13"/>
        <v>20276</v>
      </c>
    </row>
    <row r="133" spans="1:38" ht="15.75">
      <c r="A133" s="63" t="s">
        <v>86</v>
      </c>
      <c r="B133" s="63" t="s">
        <v>90</v>
      </c>
      <c r="C133" s="63" t="s">
        <v>2</v>
      </c>
      <c r="D133" s="83">
        <v>3515.2</v>
      </c>
      <c r="E133" s="63">
        <v>207187.46</v>
      </c>
      <c r="F133" s="63">
        <v>0</v>
      </c>
      <c r="G133" s="63">
        <v>0</v>
      </c>
      <c r="H133" s="63">
        <v>207187.46</v>
      </c>
      <c r="I133" s="63">
        <v>207420.66</v>
      </c>
      <c r="J133" s="66">
        <f>D133*8*0.36+D133*0.39*4</f>
        <v>15607.488</v>
      </c>
      <c r="K133" s="66">
        <f>D133*1.19*12</f>
        <v>50197.056</v>
      </c>
      <c r="L133" s="66">
        <f>D133*1.18*12</f>
        <v>49775.231999999996</v>
      </c>
      <c r="M133" s="66">
        <f>D133*0.26*12</f>
        <v>10967.423999999999</v>
      </c>
      <c r="N133" s="66">
        <f>D133*0.06*12</f>
        <v>2530.9439999999995</v>
      </c>
      <c r="O133" s="66">
        <f>D133*0.18*8+D133*0.19*4</f>
        <v>7733.44</v>
      </c>
      <c r="P133" s="66">
        <v>1155.2</v>
      </c>
      <c r="Q133" s="63"/>
      <c r="R133" s="63"/>
      <c r="S133" s="66">
        <f>D133*0.55*8+D133*0.59</f>
        <v>17540.848</v>
      </c>
      <c r="T133" s="67">
        <f>SUM(J133:S133)</f>
        <v>155507.63199999998</v>
      </c>
      <c r="U133" s="67">
        <f>D133*1.34*8+D133*1.45*4</f>
        <v>58071.10400000001</v>
      </c>
      <c r="V133" s="67">
        <f>D133*3*8+D133*3.56*4</f>
        <v>134421.248</v>
      </c>
      <c r="W133" s="57"/>
      <c r="X133" s="56"/>
      <c r="Y133" s="56"/>
      <c r="Z133" s="56"/>
      <c r="AA133" s="56">
        <v>1211</v>
      </c>
      <c r="AB133" s="56"/>
      <c r="AC133" s="56"/>
      <c r="AD133" s="56"/>
      <c r="AE133" s="56"/>
      <c r="AF133" s="56">
        <v>5542</v>
      </c>
      <c r="AG133" s="56"/>
      <c r="AH133" s="56"/>
      <c r="AI133" s="56"/>
      <c r="AJ133" s="56"/>
      <c r="AK133" s="56"/>
      <c r="AL133" s="67">
        <f t="shared" si="13"/>
        <v>6753</v>
      </c>
    </row>
    <row r="134" spans="1:38" ht="15.75">
      <c r="A134" s="63" t="s">
        <v>94</v>
      </c>
      <c r="B134" s="63" t="s">
        <v>71</v>
      </c>
      <c r="C134" s="63" t="s">
        <v>2</v>
      </c>
      <c r="D134" s="85">
        <v>909.3</v>
      </c>
      <c r="E134" s="63">
        <v>14918.24</v>
      </c>
      <c r="F134" s="63">
        <v>-7881.64</v>
      </c>
      <c r="G134" s="63">
        <v>0</v>
      </c>
      <c r="H134" s="63">
        <v>7036.6</v>
      </c>
      <c r="I134" s="63">
        <v>3472.08</v>
      </c>
      <c r="J134" s="66">
        <f t="shared" si="14"/>
        <v>4037.2919999999995</v>
      </c>
      <c r="K134" s="66">
        <f t="shared" si="15"/>
        <v>12984.804</v>
      </c>
      <c r="L134" s="66">
        <f t="shared" si="16"/>
        <v>12875.687999999998</v>
      </c>
      <c r="M134" s="66">
        <f t="shared" si="17"/>
        <v>2837.016</v>
      </c>
      <c r="N134" s="66">
        <f t="shared" si="18"/>
        <v>654.6959999999999</v>
      </c>
      <c r="O134" s="66">
        <f t="shared" si="19"/>
        <v>2000.4599999999998</v>
      </c>
      <c r="P134" s="66"/>
      <c r="Q134" s="63"/>
      <c r="R134" s="63"/>
      <c r="S134" s="66">
        <f>D134*0.55*8+D134*0.59</f>
        <v>4537.407</v>
      </c>
      <c r="T134" s="67">
        <f>SUM(J134:S134)</f>
        <v>39927.363</v>
      </c>
      <c r="U134" s="67"/>
      <c r="V134" s="67">
        <f>D134*3*8+D134*3.56*4</f>
        <v>34771.632</v>
      </c>
      <c r="W134" s="57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67">
        <f t="shared" si="13"/>
        <v>0</v>
      </c>
    </row>
    <row r="135" spans="1:38" ht="15.75">
      <c r="A135" s="63" t="s">
        <v>94</v>
      </c>
      <c r="B135" s="63" t="s">
        <v>44</v>
      </c>
      <c r="C135" s="63" t="s">
        <v>2</v>
      </c>
      <c r="D135" s="83">
        <v>2792.7</v>
      </c>
      <c r="E135" s="63">
        <v>165468.08</v>
      </c>
      <c r="F135" s="63">
        <v>0</v>
      </c>
      <c r="G135" s="63">
        <v>0</v>
      </c>
      <c r="H135" s="63">
        <v>165468.08</v>
      </c>
      <c r="I135" s="63">
        <v>159795.46</v>
      </c>
      <c r="J135" s="66">
        <f t="shared" si="14"/>
        <v>12399.588</v>
      </c>
      <c r="K135" s="66">
        <f t="shared" si="15"/>
        <v>39879.755999999994</v>
      </c>
      <c r="L135" s="66">
        <f t="shared" si="16"/>
        <v>39544.632</v>
      </c>
      <c r="M135" s="66">
        <f t="shared" si="17"/>
        <v>8713.224</v>
      </c>
      <c r="N135" s="66">
        <f t="shared" si="18"/>
        <v>2010.7439999999997</v>
      </c>
      <c r="O135" s="66">
        <f t="shared" si="19"/>
        <v>6143.939999999999</v>
      </c>
      <c r="P135" s="66">
        <v>2876.16</v>
      </c>
      <c r="Q135" s="63">
        <v>9546.36</v>
      </c>
      <c r="R135" s="63"/>
      <c r="S135" s="66">
        <f>D135*0.55*8+D135*0.59</f>
        <v>13935.573</v>
      </c>
      <c r="T135" s="67">
        <f>SUM(J135:S135)</f>
        <v>135049.977</v>
      </c>
      <c r="U135" s="67">
        <f>D135*1.34*8+D135*1.45*4</f>
        <v>46135.403999999995</v>
      </c>
      <c r="V135" s="67">
        <f>D135*3*8+D135*3.56*4</f>
        <v>106792.84799999998</v>
      </c>
      <c r="W135" s="57">
        <v>14824</v>
      </c>
      <c r="X135" s="56">
        <v>51158</v>
      </c>
      <c r="Y135" s="56"/>
      <c r="Z135" s="56"/>
      <c r="AA135" s="56">
        <v>82050</v>
      </c>
      <c r="AB135" s="56">
        <v>835</v>
      </c>
      <c r="AC135" s="56">
        <v>695</v>
      </c>
      <c r="AD135" s="56"/>
      <c r="AE135" s="56"/>
      <c r="AF135" s="56">
        <v>11084</v>
      </c>
      <c r="AG135" s="56"/>
      <c r="AH135" s="56">
        <v>48794</v>
      </c>
      <c r="AI135" s="56"/>
      <c r="AJ135" s="56">
        <v>23008</v>
      </c>
      <c r="AK135" s="56"/>
      <c r="AL135" s="67">
        <f t="shared" si="13"/>
        <v>232448</v>
      </c>
    </row>
    <row r="136" spans="1:38" ht="15.75">
      <c r="A136" s="63" t="s">
        <v>94</v>
      </c>
      <c r="B136" s="63" t="s">
        <v>95</v>
      </c>
      <c r="C136" s="63" t="s">
        <v>2</v>
      </c>
      <c r="D136" s="83">
        <v>3245.1</v>
      </c>
      <c r="E136" s="63">
        <v>204828.69</v>
      </c>
      <c r="F136" s="63">
        <v>0</v>
      </c>
      <c r="G136" s="63">
        <v>1016</v>
      </c>
      <c r="H136" s="63">
        <v>203812.69</v>
      </c>
      <c r="I136" s="63">
        <v>194038.19</v>
      </c>
      <c r="J136" s="66">
        <f t="shared" si="14"/>
        <v>14408.243999999999</v>
      </c>
      <c r="K136" s="66">
        <f t="shared" si="15"/>
        <v>46340.028</v>
      </c>
      <c r="L136" s="66">
        <f t="shared" si="16"/>
        <v>45950.615999999995</v>
      </c>
      <c r="M136" s="66">
        <f t="shared" si="17"/>
        <v>10124.712</v>
      </c>
      <c r="N136" s="66">
        <f t="shared" si="18"/>
        <v>2336.4719999999998</v>
      </c>
      <c r="O136" s="66">
        <f t="shared" si="19"/>
        <v>7139.219999999999</v>
      </c>
      <c r="P136" s="66">
        <v>1450.56</v>
      </c>
      <c r="Q136" s="63">
        <v>13397.85</v>
      </c>
      <c r="R136" s="63"/>
      <c r="S136" s="66">
        <f>D136*0.55*8+D136*0.59</f>
        <v>16193.049</v>
      </c>
      <c r="T136" s="67">
        <f>SUM(J136:S136)</f>
        <v>157340.751</v>
      </c>
      <c r="U136" s="67">
        <f>D136*1.34*8+D136*1.45*4</f>
        <v>53609.051999999996</v>
      </c>
      <c r="V136" s="67">
        <f>D136*3*8+D136*3.56*4</f>
        <v>124092.624</v>
      </c>
      <c r="W136" s="57"/>
      <c r="X136" s="56"/>
      <c r="Y136" s="56"/>
      <c r="Z136" s="56"/>
      <c r="AA136" s="56"/>
      <c r="AB136" s="56">
        <v>185</v>
      </c>
      <c r="AC136" s="56"/>
      <c r="AD136" s="56"/>
      <c r="AE136" s="56"/>
      <c r="AF136" s="56"/>
      <c r="AG136" s="56"/>
      <c r="AH136" s="56"/>
      <c r="AI136" s="56"/>
      <c r="AJ136" s="56">
        <v>4267</v>
      </c>
      <c r="AK136" s="56"/>
      <c r="AL136" s="67">
        <f aca="true" t="shared" si="20" ref="AL136:AL199">SUM(W136:AK136)</f>
        <v>4452</v>
      </c>
    </row>
    <row r="137" spans="1:38" ht="15.75">
      <c r="A137" s="63" t="s">
        <v>94</v>
      </c>
      <c r="B137" s="63" t="s">
        <v>96</v>
      </c>
      <c r="C137" s="63" t="s">
        <v>2</v>
      </c>
      <c r="D137" s="83">
        <v>1555.8</v>
      </c>
      <c r="E137" s="63">
        <v>88643.57</v>
      </c>
      <c r="F137" s="63">
        <v>0</v>
      </c>
      <c r="G137" s="63">
        <v>0</v>
      </c>
      <c r="H137" s="63">
        <v>88643.57</v>
      </c>
      <c r="I137" s="63">
        <v>87142.55</v>
      </c>
      <c r="J137" s="66">
        <f t="shared" si="14"/>
        <v>6907.752</v>
      </c>
      <c r="K137" s="66">
        <f t="shared" si="15"/>
        <v>22216.823999999997</v>
      </c>
      <c r="L137" s="66">
        <f t="shared" si="16"/>
        <v>22030.127999999997</v>
      </c>
      <c r="M137" s="66">
        <f t="shared" si="17"/>
        <v>4854.096</v>
      </c>
      <c r="N137" s="66">
        <f t="shared" si="18"/>
        <v>1120.176</v>
      </c>
      <c r="O137" s="66">
        <f t="shared" si="19"/>
        <v>3422.7599999999998</v>
      </c>
      <c r="P137" s="66">
        <v>1439.88</v>
      </c>
      <c r="Q137" s="63">
        <v>6531.72</v>
      </c>
      <c r="R137" s="63"/>
      <c r="S137" s="66">
        <f>D137*0.55*8+D137*0.59</f>
        <v>7763.442</v>
      </c>
      <c r="T137" s="67">
        <f>SUM(J137:S137)</f>
        <v>76286.77799999999</v>
      </c>
      <c r="U137" s="67">
        <f>D137*1.34*8+D137*1.45*4</f>
        <v>25701.816</v>
      </c>
      <c r="V137" s="67">
        <f>D137*3*8+D137*3.56*4</f>
        <v>59493.792</v>
      </c>
      <c r="W137" s="57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67">
        <f t="shared" si="20"/>
        <v>0</v>
      </c>
    </row>
    <row r="138" spans="1:38" ht="15.75">
      <c r="A138" s="63" t="s">
        <v>94</v>
      </c>
      <c r="B138" s="63" t="s">
        <v>73</v>
      </c>
      <c r="C138" s="63" t="s">
        <v>2</v>
      </c>
      <c r="D138" s="83">
        <v>1304.4</v>
      </c>
      <c r="E138" s="63">
        <v>79847.81</v>
      </c>
      <c r="F138" s="63">
        <v>0</v>
      </c>
      <c r="G138" s="63">
        <v>0</v>
      </c>
      <c r="H138" s="63">
        <v>79847.81</v>
      </c>
      <c r="I138" s="63">
        <v>80560.64</v>
      </c>
      <c r="J138" s="66">
        <f aca="true" t="shared" si="21" ref="J138:J202">D138*8*0.36+D138*0.39*4</f>
        <v>5791.536</v>
      </c>
      <c r="K138" s="66">
        <f aca="true" t="shared" si="22" ref="K138:K202">D138*1.19*12</f>
        <v>18626.832000000002</v>
      </c>
      <c r="L138" s="66">
        <f aca="true" t="shared" si="23" ref="L138:L202">D138*1.18*12</f>
        <v>18470.304</v>
      </c>
      <c r="M138" s="66">
        <f aca="true" t="shared" si="24" ref="M138:M202">D138*0.26*12</f>
        <v>4069.728000000001</v>
      </c>
      <c r="N138" s="66">
        <f aca="true" t="shared" si="25" ref="N138:N202">D138*0.06*12</f>
        <v>939.1679999999999</v>
      </c>
      <c r="O138" s="66">
        <f aca="true" t="shared" si="26" ref="O138:O202">D138*0.18*8+D138*0.19*4</f>
        <v>2869.6800000000003</v>
      </c>
      <c r="P138" s="66">
        <v>1439.88</v>
      </c>
      <c r="Q138" s="63">
        <v>4521.96</v>
      </c>
      <c r="R138" s="63"/>
      <c r="S138" s="66">
        <f>D138*0.55*8+D138*0.59</f>
        <v>6508.956</v>
      </c>
      <c r="T138" s="67">
        <f>SUM(J138:S138)</f>
        <v>63238.044</v>
      </c>
      <c r="U138" s="67"/>
      <c r="V138" s="67">
        <f>D138*3*8+D138*3.56*4</f>
        <v>49880.25600000001</v>
      </c>
      <c r="W138" s="57"/>
      <c r="X138" s="56"/>
      <c r="Y138" s="56"/>
      <c r="Z138" s="56"/>
      <c r="AA138" s="56"/>
      <c r="AB138" s="56"/>
      <c r="AC138" s="56"/>
      <c r="AD138" s="56"/>
      <c r="AE138" s="56"/>
      <c r="AF138" s="56">
        <v>7532</v>
      </c>
      <c r="AG138" s="56">
        <v>10068</v>
      </c>
      <c r="AH138" s="56"/>
      <c r="AI138" s="56"/>
      <c r="AJ138" s="56"/>
      <c r="AK138" s="56"/>
      <c r="AL138" s="67">
        <f t="shared" si="20"/>
        <v>17600</v>
      </c>
    </row>
    <row r="139" spans="1:38" ht="15.75">
      <c r="A139" s="68" t="s">
        <v>98</v>
      </c>
      <c r="B139" s="68" t="s">
        <v>39</v>
      </c>
      <c r="C139" s="63"/>
      <c r="D139" s="85">
        <v>255.2</v>
      </c>
      <c r="E139" s="63">
        <v>2987.36</v>
      </c>
      <c r="F139" s="63">
        <v>0</v>
      </c>
      <c r="G139" s="63">
        <v>0</v>
      </c>
      <c r="H139" s="63">
        <v>2987.36</v>
      </c>
      <c r="I139" s="63">
        <v>225.35</v>
      </c>
      <c r="J139" s="66">
        <f t="shared" si="21"/>
        <v>1133.088</v>
      </c>
      <c r="K139" s="66">
        <f t="shared" si="22"/>
        <v>3644.256</v>
      </c>
      <c r="L139" s="66">
        <f t="shared" si="23"/>
        <v>3613.6319999999996</v>
      </c>
      <c r="M139" s="66">
        <f t="shared" si="24"/>
        <v>796.224</v>
      </c>
      <c r="N139" s="66">
        <f t="shared" si="25"/>
        <v>183.744</v>
      </c>
      <c r="O139" s="66">
        <f t="shared" si="26"/>
        <v>561.4399999999999</v>
      </c>
      <c r="P139" s="66"/>
      <c r="Q139" s="63"/>
      <c r="R139" s="63"/>
      <c r="S139" s="66">
        <f>D139*0.55*8+D139*0.59</f>
        <v>1273.448</v>
      </c>
      <c r="T139" s="67">
        <f>SUM(J139:S139)</f>
        <v>11205.832</v>
      </c>
      <c r="U139" s="67"/>
      <c r="V139" s="67">
        <f>D139*3*8+D139*3.56*4</f>
        <v>9758.847999999998</v>
      </c>
      <c r="W139" s="57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67">
        <f t="shared" si="20"/>
        <v>0</v>
      </c>
    </row>
    <row r="140" spans="1:38" ht="15.75">
      <c r="A140" s="63" t="s">
        <v>99</v>
      </c>
      <c r="B140" s="63" t="s">
        <v>3</v>
      </c>
      <c r="C140" s="63" t="s">
        <v>2</v>
      </c>
      <c r="D140" s="85">
        <v>411.6</v>
      </c>
      <c r="E140" s="63">
        <v>6401.65</v>
      </c>
      <c r="F140" s="63">
        <v>0</v>
      </c>
      <c r="G140" s="63">
        <v>0</v>
      </c>
      <c r="H140" s="63">
        <v>6401.65</v>
      </c>
      <c r="I140" s="63">
        <v>5956.92</v>
      </c>
      <c r="J140" s="66">
        <f t="shared" si="21"/>
        <v>1827.5040000000001</v>
      </c>
      <c r="K140" s="66">
        <f t="shared" si="22"/>
        <v>5877.648</v>
      </c>
      <c r="L140" s="66">
        <f t="shared" si="23"/>
        <v>5828.255999999999</v>
      </c>
      <c r="M140" s="66">
        <f t="shared" si="24"/>
        <v>1284.192</v>
      </c>
      <c r="N140" s="66">
        <f t="shared" si="25"/>
        <v>296.35200000000003</v>
      </c>
      <c r="O140" s="66">
        <f t="shared" si="26"/>
        <v>905.5200000000001</v>
      </c>
      <c r="P140" s="66"/>
      <c r="Q140" s="63"/>
      <c r="R140" s="63"/>
      <c r="S140" s="66">
        <f>D140*0.55*8+D140*0.59</f>
        <v>2053.884</v>
      </c>
      <c r="T140" s="67">
        <f>SUM(J140:S140)</f>
        <v>18073.356</v>
      </c>
      <c r="U140" s="67"/>
      <c r="V140" s="67">
        <f>D140*3*8+D140*3.56*4</f>
        <v>15739.584000000003</v>
      </c>
      <c r="W140" s="57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67">
        <f t="shared" si="20"/>
        <v>0</v>
      </c>
    </row>
    <row r="141" spans="1:38" ht="15.75">
      <c r="A141" s="63" t="s">
        <v>100</v>
      </c>
      <c r="B141" s="63" t="s">
        <v>71</v>
      </c>
      <c r="C141" s="63" t="s">
        <v>2</v>
      </c>
      <c r="D141" s="83">
        <v>3209.3</v>
      </c>
      <c r="E141" s="63">
        <v>206306.9</v>
      </c>
      <c r="F141" s="63">
        <v>-502.64</v>
      </c>
      <c r="G141" s="63">
        <v>2111.2</v>
      </c>
      <c r="H141" s="63">
        <v>203693.06</v>
      </c>
      <c r="I141" s="63">
        <v>199536.68</v>
      </c>
      <c r="J141" s="66">
        <f>D141*8*0.36+D141*0.39*4</f>
        <v>14249.292000000001</v>
      </c>
      <c r="K141" s="66">
        <f>D141*1.19*12</f>
        <v>45828.804000000004</v>
      </c>
      <c r="L141" s="66">
        <f>D141*1.18*12</f>
        <v>45443.688</v>
      </c>
      <c r="M141" s="66">
        <f>D141*0.26*12</f>
        <v>10013.016000000001</v>
      </c>
      <c r="N141" s="66">
        <f>D141*0.06*12</f>
        <v>2310.696</v>
      </c>
      <c r="O141" s="66">
        <f>D141*0.18*8+D141*0.19*4</f>
        <v>7060.46</v>
      </c>
      <c r="P141" s="66">
        <v>4108.8</v>
      </c>
      <c r="Q141" s="63">
        <v>13397.85</v>
      </c>
      <c r="R141" s="63"/>
      <c r="S141" s="66">
        <f>D141*0.55*8+D141*0.59</f>
        <v>16014.407000000003</v>
      </c>
      <c r="T141" s="67">
        <f>SUM(J141:S141)</f>
        <v>158427.01300000004</v>
      </c>
      <c r="U141" s="67">
        <f>D141*1.34*8+D141*1.45*4</f>
        <v>53017.636</v>
      </c>
      <c r="V141" s="67">
        <f>D141*3*8+D141*3.56*4</f>
        <v>122723.63200000001</v>
      </c>
      <c r="W141" s="57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>
        <v>1158</v>
      </c>
      <c r="AI141" s="56"/>
      <c r="AJ141" s="56">
        <v>14423</v>
      </c>
      <c r="AK141" s="56"/>
      <c r="AL141" s="67">
        <f t="shared" si="20"/>
        <v>15581</v>
      </c>
    </row>
    <row r="142" spans="1:38" ht="15.75">
      <c r="A142" s="63" t="s">
        <v>100</v>
      </c>
      <c r="B142" s="63" t="s">
        <v>34</v>
      </c>
      <c r="C142" s="63" t="s">
        <v>2</v>
      </c>
      <c r="D142" s="83">
        <v>404.8</v>
      </c>
      <c r="E142" s="63">
        <v>26685.47</v>
      </c>
      <c r="F142" s="63">
        <v>0</v>
      </c>
      <c r="G142" s="63">
        <v>0</v>
      </c>
      <c r="H142" s="63">
        <v>26685.47</v>
      </c>
      <c r="I142" s="63">
        <v>18173.09</v>
      </c>
      <c r="J142" s="66">
        <f t="shared" si="21"/>
        <v>1797.3120000000001</v>
      </c>
      <c r="K142" s="66">
        <f t="shared" si="22"/>
        <v>5780.544</v>
      </c>
      <c r="L142" s="66">
        <f t="shared" si="23"/>
        <v>5731.968</v>
      </c>
      <c r="M142" s="66">
        <f t="shared" si="24"/>
        <v>1262.976</v>
      </c>
      <c r="N142" s="66">
        <f t="shared" si="25"/>
        <v>291.456</v>
      </c>
      <c r="O142" s="66">
        <f t="shared" si="26"/>
        <v>890.5600000000001</v>
      </c>
      <c r="P142" s="66">
        <v>462.24</v>
      </c>
      <c r="Q142" s="63">
        <v>1339.84</v>
      </c>
      <c r="R142" s="63">
        <v>8950</v>
      </c>
      <c r="S142" s="66">
        <f>D142*0.55*8+D142*0.59</f>
        <v>2019.9520000000002</v>
      </c>
      <c r="T142" s="67">
        <f>SUM(J142:S142)</f>
        <v>28526.848</v>
      </c>
      <c r="U142" s="67"/>
      <c r="V142" s="67">
        <f>D142*3*8+D142*3.56*4</f>
        <v>15479.552</v>
      </c>
      <c r="W142" s="57"/>
      <c r="X142" s="56">
        <v>10176</v>
      </c>
      <c r="Y142" s="56"/>
      <c r="Z142" s="56"/>
      <c r="AA142" s="56"/>
      <c r="AB142" s="56"/>
      <c r="AC142" s="56"/>
      <c r="AD142" s="56"/>
      <c r="AE142" s="56"/>
      <c r="AF142" s="56">
        <v>1203</v>
      </c>
      <c r="AG142" s="56"/>
      <c r="AH142" s="56"/>
      <c r="AI142" s="56"/>
      <c r="AJ142" s="56"/>
      <c r="AK142" s="56"/>
      <c r="AL142" s="67">
        <f t="shared" si="20"/>
        <v>11379</v>
      </c>
    </row>
    <row r="143" spans="1:38" ht="15.75">
      <c r="A143" s="63" t="s">
        <v>100</v>
      </c>
      <c r="B143" s="63" t="s">
        <v>101</v>
      </c>
      <c r="C143" s="63" t="s">
        <v>2</v>
      </c>
      <c r="D143" s="83">
        <v>396.4</v>
      </c>
      <c r="E143" s="63">
        <v>34539.88</v>
      </c>
      <c r="F143" s="63">
        <v>0</v>
      </c>
      <c r="G143" s="63">
        <v>0</v>
      </c>
      <c r="H143" s="63">
        <v>34539.88</v>
      </c>
      <c r="I143" s="63">
        <v>34863.42</v>
      </c>
      <c r="J143" s="66">
        <f t="shared" si="21"/>
        <v>1760.0159999999998</v>
      </c>
      <c r="K143" s="66">
        <f t="shared" si="22"/>
        <v>5660.592</v>
      </c>
      <c r="L143" s="66">
        <f t="shared" si="23"/>
        <v>5613.023999999999</v>
      </c>
      <c r="M143" s="66">
        <f t="shared" si="24"/>
        <v>1236.768</v>
      </c>
      <c r="N143" s="66">
        <f t="shared" si="25"/>
        <v>285.408</v>
      </c>
      <c r="O143" s="66">
        <f t="shared" si="26"/>
        <v>872.0799999999999</v>
      </c>
      <c r="P143" s="66">
        <v>462.24</v>
      </c>
      <c r="Q143" s="63">
        <v>1339.84</v>
      </c>
      <c r="R143" s="63">
        <v>8950</v>
      </c>
      <c r="S143" s="66">
        <f>D143*0.55*8+D143*0.59</f>
        <v>1978.036</v>
      </c>
      <c r="T143" s="67">
        <f>SUM(J143:S143)</f>
        <v>28158.003999999997</v>
      </c>
      <c r="U143" s="67"/>
      <c r="V143" s="67">
        <f>D143*3*8+D143*3.56*4</f>
        <v>15158.336</v>
      </c>
      <c r="W143" s="57">
        <v>15332</v>
      </c>
      <c r="X143" s="56">
        <v>122</v>
      </c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67">
        <f t="shared" si="20"/>
        <v>15454</v>
      </c>
    </row>
    <row r="144" spans="1:38" ht="15.75">
      <c r="A144" s="63" t="s">
        <v>100</v>
      </c>
      <c r="B144" s="63" t="s">
        <v>70</v>
      </c>
      <c r="C144" s="63" t="s">
        <v>2</v>
      </c>
      <c r="D144" s="83">
        <v>386.8</v>
      </c>
      <c r="E144" s="63">
        <v>32551.44</v>
      </c>
      <c r="F144" s="63">
        <v>0</v>
      </c>
      <c r="G144" s="63">
        <v>0</v>
      </c>
      <c r="H144" s="63">
        <v>32551.44</v>
      </c>
      <c r="I144" s="63">
        <v>32222.92</v>
      </c>
      <c r="J144" s="66">
        <f t="shared" si="21"/>
        <v>1717.3919999999998</v>
      </c>
      <c r="K144" s="66">
        <f t="shared" si="22"/>
        <v>5523.504</v>
      </c>
      <c r="L144" s="66">
        <f t="shared" si="23"/>
        <v>5477.088</v>
      </c>
      <c r="M144" s="66">
        <f t="shared" si="24"/>
        <v>1206.8160000000003</v>
      </c>
      <c r="N144" s="66">
        <f t="shared" si="25"/>
        <v>278.496</v>
      </c>
      <c r="O144" s="66">
        <f t="shared" si="26"/>
        <v>850.96</v>
      </c>
      <c r="P144" s="66">
        <v>462.24</v>
      </c>
      <c r="Q144" s="63"/>
      <c r="R144" s="63">
        <v>8950</v>
      </c>
      <c r="S144" s="66">
        <f>D144*0.55*8+D144*0.59</f>
        <v>1930.1320000000003</v>
      </c>
      <c r="T144" s="67">
        <f>SUM(J144:S144)</f>
        <v>26396.628</v>
      </c>
      <c r="U144" s="67"/>
      <c r="V144" s="67">
        <f>D144*3*8+D144*3.56*4</f>
        <v>14791.232</v>
      </c>
      <c r="W144" s="57">
        <v>743</v>
      </c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67">
        <f t="shared" si="20"/>
        <v>743</v>
      </c>
    </row>
    <row r="145" spans="1:38" ht="15.75">
      <c r="A145" s="63" t="s">
        <v>100</v>
      </c>
      <c r="B145" s="63" t="s">
        <v>64</v>
      </c>
      <c r="C145" s="63" t="s">
        <v>2</v>
      </c>
      <c r="D145" s="83">
        <v>383.5</v>
      </c>
      <c r="E145" s="63">
        <v>30083.4</v>
      </c>
      <c r="F145" s="63">
        <v>0</v>
      </c>
      <c r="G145" s="63">
        <v>0</v>
      </c>
      <c r="H145" s="63">
        <v>30083.4</v>
      </c>
      <c r="I145" s="63">
        <v>27230.06</v>
      </c>
      <c r="J145" s="66">
        <f t="shared" si="21"/>
        <v>1702.74</v>
      </c>
      <c r="K145" s="66">
        <f t="shared" si="22"/>
        <v>5476.379999999999</v>
      </c>
      <c r="L145" s="66">
        <f t="shared" si="23"/>
        <v>5430.36</v>
      </c>
      <c r="M145" s="66">
        <f t="shared" si="24"/>
        <v>1196.52</v>
      </c>
      <c r="N145" s="66">
        <f t="shared" si="25"/>
        <v>276.12</v>
      </c>
      <c r="O145" s="66">
        <f t="shared" si="26"/>
        <v>843.7</v>
      </c>
      <c r="P145" s="66">
        <v>462.24</v>
      </c>
      <c r="Q145" s="63"/>
      <c r="R145" s="63"/>
      <c r="S145" s="66">
        <f>D145*0.55*8+D145*0.59</f>
        <v>1913.665</v>
      </c>
      <c r="T145" s="67">
        <f>SUM(J145:S145)</f>
        <v>17301.725000000002</v>
      </c>
      <c r="U145" s="67"/>
      <c r="V145" s="67">
        <f>D145*3*8+D145*3.56*4</f>
        <v>14665.04</v>
      </c>
      <c r="W145" s="57"/>
      <c r="X145" s="56">
        <v>4165</v>
      </c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67">
        <f t="shared" si="20"/>
        <v>4165</v>
      </c>
    </row>
    <row r="146" spans="1:38" ht="15.75">
      <c r="A146" s="63" t="s">
        <v>102</v>
      </c>
      <c r="B146" s="63" t="s">
        <v>72</v>
      </c>
      <c r="C146" s="63" t="s">
        <v>2</v>
      </c>
      <c r="D146" s="83">
        <v>399.7</v>
      </c>
      <c r="E146" s="63">
        <v>9794.36</v>
      </c>
      <c r="F146" s="63">
        <v>-4053.67</v>
      </c>
      <c r="G146" s="63">
        <v>0</v>
      </c>
      <c r="H146" s="63">
        <v>5740.69</v>
      </c>
      <c r="I146" s="63">
        <v>3781.23</v>
      </c>
      <c r="J146" s="66">
        <f>D146*8*0.36+D146*0.39*4</f>
        <v>1774.6680000000001</v>
      </c>
      <c r="K146" s="66">
        <f>D146*1.19*12</f>
        <v>5707.715999999999</v>
      </c>
      <c r="L146" s="66">
        <f>D146*1.18*12</f>
        <v>5659.7519999999995</v>
      </c>
      <c r="M146" s="66">
        <f>D146*0.26*12</f>
        <v>1247.0639999999999</v>
      </c>
      <c r="N146" s="66">
        <f>D146*0.06*12</f>
        <v>287.784</v>
      </c>
      <c r="O146" s="66">
        <f>D146*0.18*8+D146*0.19*4</f>
        <v>879.3399999999999</v>
      </c>
      <c r="P146" s="66"/>
      <c r="Q146" s="63"/>
      <c r="R146" s="63"/>
      <c r="S146" s="66">
        <f>D146*0.55*8+D146*0.59</f>
        <v>1994.5030000000002</v>
      </c>
      <c r="T146" s="67">
        <f>SUM(J146:S146)</f>
        <v>17550.826999999997</v>
      </c>
      <c r="U146" s="67"/>
      <c r="V146" s="67">
        <f>D146*3*8+D146*3.56*4</f>
        <v>15284.527999999998</v>
      </c>
      <c r="W146" s="57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67">
        <f t="shared" si="20"/>
        <v>0</v>
      </c>
    </row>
    <row r="147" spans="1:38" ht="15.75">
      <c r="A147" s="63" t="s">
        <v>102</v>
      </c>
      <c r="B147" s="63" t="s">
        <v>105</v>
      </c>
      <c r="C147" s="63" t="s">
        <v>2</v>
      </c>
      <c r="D147" s="85">
        <v>280.9</v>
      </c>
      <c r="E147" s="63">
        <v>3402.97</v>
      </c>
      <c r="F147" s="63">
        <v>0</v>
      </c>
      <c r="G147" s="63">
        <v>0</v>
      </c>
      <c r="H147" s="63">
        <v>3402.97</v>
      </c>
      <c r="I147" s="63">
        <v>1202.16</v>
      </c>
      <c r="J147" s="66">
        <f>D147*8*0.36+D147*0.39*4</f>
        <v>1247.196</v>
      </c>
      <c r="K147" s="66">
        <f>D147*1.19*12</f>
        <v>4011.2519999999995</v>
      </c>
      <c r="L147" s="66">
        <f>D147*1.18*12</f>
        <v>3977.543999999999</v>
      </c>
      <c r="M147" s="66">
        <f>D147*0.26*12</f>
        <v>876.4079999999999</v>
      </c>
      <c r="N147" s="66">
        <f>D147*0.06*12</f>
        <v>202.248</v>
      </c>
      <c r="O147" s="66">
        <f>D147*0.18*8+D147*0.19*4</f>
        <v>617.9799999999999</v>
      </c>
      <c r="P147" s="66"/>
      <c r="Q147" s="63"/>
      <c r="R147" s="63"/>
      <c r="S147" s="66">
        <f>D147*0.55*8+D147*0.59</f>
        <v>1401.691</v>
      </c>
      <c r="T147" s="67">
        <f>SUM(J147:S147)</f>
        <v>12334.318999999998</v>
      </c>
      <c r="U147" s="67"/>
      <c r="V147" s="67">
        <f>D147*3*8+D147*3.56*4</f>
        <v>10741.615999999998</v>
      </c>
      <c r="W147" s="57"/>
      <c r="X147" s="56"/>
      <c r="Y147" s="56"/>
      <c r="Z147" s="56"/>
      <c r="AA147" s="56"/>
      <c r="AB147" s="56"/>
      <c r="AC147" s="56"/>
      <c r="AD147" s="56"/>
      <c r="AE147" s="56"/>
      <c r="AF147" s="56">
        <v>1616</v>
      </c>
      <c r="AG147" s="56"/>
      <c r="AH147" s="56"/>
      <c r="AI147" s="56"/>
      <c r="AJ147" s="56"/>
      <c r="AK147" s="56"/>
      <c r="AL147" s="67">
        <f t="shared" si="20"/>
        <v>1616</v>
      </c>
    </row>
    <row r="148" spans="1:38" ht="15.75">
      <c r="A148" s="63" t="s">
        <v>102</v>
      </c>
      <c r="B148" s="63" t="s">
        <v>103</v>
      </c>
      <c r="C148" s="63" t="s">
        <v>2</v>
      </c>
      <c r="D148" s="83">
        <v>1317.6</v>
      </c>
      <c r="E148" s="63">
        <v>41074.68</v>
      </c>
      <c r="F148" s="63">
        <v>0</v>
      </c>
      <c r="G148" s="63">
        <v>0</v>
      </c>
      <c r="H148" s="63">
        <v>41074.68</v>
      </c>
      <c r="I148" s="63">
        <v>24591.23</v>
      </c>
      <c r="J148" s="66">
        <f t="shared" si="21"/>
        <v>5850.144</v>
      </c>
      <c r="K148" s="66">
        <f t="shared" si="22"/>
        <v>18815.327999999998</v>
      </c>
      <c r="L148" s="66">
        <f t="shared" si="23"/>
        <v>18657.215999999997</v>
      </c>
      <c r="M148" s="66">
        <f t="shared" si="24"/>
        <v>4110.911999999999</v>
      </c>
      <c r="N148" s="66">
        <f t="shared" si="25"/>
        <v>948.672</v>
      </c>
      <c r="O148" s="66">
        <f t="shared" si="26"/>
        <v>2898.72</v>
      </c>
      <c r="P148" s="66"/>
      <c r="Q148" s="63"/>
      <c r="R148" s="63"/>
      <c r="S148" s="66">
        <f>D148*0.55*8+D148*0.59</f>
        <v>6574.8240000000005</v>
      </c>
      <c r="T148" s="67">
        <f>SUM(J148:S148)</f>
        <v>57855.81599999999</v>
      </c>
      <c r="U148" s="67"/>
      <c r="V148" s="67">
        <f>D148*3*8+D148*3.56*4</f>
        <v>50385.024</v>
      </c>
      <c r="W148" s="57">
        <v>16237</v>
      </c>
      <c r="X148" s="56"/>
      <c r="Y148" s="56"/>
      <c r="Z148" s="56"/>
      <c r="AA148" s="56"/>
      <c r="AB148" s="56">
        <v>17709</v>
      </c>
      <c r="AC148" s="56"/>
      <c r="AD148" s="56"/>
      <c r="AE148" s="56"/>
      <c r="AF148" s="56">
        <v>3232</v>
      </c>
      <c r="AG148" s="56"/>
      <c r="AH148" s="56"/>
      <c r="AI148" s="56"/>
      <c r="AJ148" s="56"/>
      <c r="AK148" s="56"/>
      <c r="AL148" s="67">
        <f t="shared" si="20"/>
        <v>37178</v>
      </c>
    </row>
    <row r="149" spans="1:38" ht="15.75">
      <c r="A149" s="63" t="s">
        <v>102</v>
      </c>
      <c r="B149" s="63" t="s">
        <v>31</v>
      </c>
      <c r="C149" s="63" t="s">
        <v>2</v>
      </c>
      <c r="D149" s="85">
        <v>375.7</v>
      </c>
      <c r="E149" s="63">
        <v>3265.05</v>
      </c>
      <c r="F149" s="63">
        <v>0</v>
      </c>
      <c r="G149" s="63">
        <v>0</v>
      </c>
      <c r="H149" s="63">
        <v>3265.05</v>
      </c>
      <c r="I149" s="63">
        <v>948.07</v>
      </c>
      <c r="J149" s="66">
        <f t="shared" si="21"/>
        <v>1668.1079999999997</v>
      </c>
      <c r="K149" s="66">
        <f t="shared" si="22"/>
        <v>5364.995999999999</v>
      </c>
      <c r="L149" s="66">
        <f t="shared" si="23"/>
        <v>5319.911999999999</v>
      </c>
      <c r="M149" s="66">
        <f t="shared" si="24"/>
        <v>1172.184</v>
      </c>
      <c r="N149" s="66">
        <f t="shared" si="25"/>
        <v>270.50399999999996</v>
      </c>
      <c r="O149" s="66">
        <f t="shared" si="26"/>
        <v>826.54</v>
      </c>
      <c r="P149" s="66"/>
      <c r="Q149" s="63"/>
      <c r="R149" s="63"/>
      <c r="S149" s="66">
        <f>D149*0.55*8+D149*0.59</f>
        <v>1874.7430000000002</v>
      </c>
      <c r="T149" s="67">
        <f>SUM(J149:S149)</f>
        <v>16496.986999999997</v>
      </c>
      <c r="U149" s="67"/>
      <c r="V149" s="67">
        <f>D149*3*8+D149*3.56*4</f>
        <v>14366.768</v>
      </c>
      <c r="W149" s="57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67">
        <f t="shared" si="20"/>
        <v>0</v>
      </c>
    </row>
    <row r="150" spans="1:38" ht="15.75">
      <c r="A150" s="63" t="s">
        <v>102</v>
      </c>
      <c r="B150" s="63" t="s">
        <v>37</v>
      </c>
      <c r="C150" s="63" t="s">
        <v>2</v>
      </c>
      <c r="D150" s="83">
        <v>5718.8</v>
      </c>
      <c r="E150" s="63">
        <v>323782.89</v>
      </c>
      <c r="F150" s="63">
        <v>0</v>
      </c>
      <c r="G150" s="63">
        <v>0</v>
      </c>
      <c r="H150" s="63">
        <v>323782.89</v>
      </c>
      <c r="I150" s="63">
        <v>329387.61</v>
      </c>
      <c r="J150" s="66">
        <f t="shared" si="21"/>
        <v>25391.472</v>
      </c>
      <c r="K150" s="66">
        <f t="shared" si="22"/>
        <v>81664.464</v>
      </c>
      <c r="L150" s="66">
        <f t="shared" si="23"/>
        <v>80978.208</v>
      </c>
      <c r="M150" s="66">
        <f t="shared" si="24"/>
        <v>17842.656000000003</v>
      </c>
      <c r="N150" s="66">
        <f t="shared" si="25"/>
        <v>4117.536</v>
      </c>
      <c r="O150" s="66">
        <f t="shared" si="26"/>
        <v>12581.36</v>
      </c>
      <c r="P150" s="66">
        <v>1920.52</v>
      </c>
      <c r="Q150" s="63">
        <v>22274.84</v>
      </c>
      <c r="R150" s="63"/>
      <c r="S150" s="66">
        <f>D150*0.55*8+D150*0.59</f>
        <v>28536.812</v>
      </c>
      <c r="T150" s="67">
        <f>SUM(J150:S150)</f>
        <v>275307.868</v>
      </c>
      <c r="U150" s="67">
        <f>D150*1.34*8+D150*1.45*4</f>
        <v>94474.576</v>
      </c>
      <c r="V150" s="67">
        <f>D150*3*8+D150*3.56*4</f>
        <v>218686.912</v>
      </c>
      <c r="W150" s="57">
        <v>17510</v>
      </c>
      <c r="X150" s="56">
        <v>2806</v>
      </c>
      <c r="Y150" s="56"/>
      <c r="Z150" s="56"/>
      <c r="AA150" s="56">
        <v>591816</v>
      </c>
      <c r="AB150" s="56"/>
      <c r="AC150" s="56">
        <v>695</v>
      </c>
      <c r="AD150" s="56"/>
      <c r="AE150" s="56">
        <v>218667</v>
      </c>
      <c r="AF150" s="56">
        <v>13044</v>
      </c>
      <c r="AG150" s="56"/>
      <c r="AH150" s="56">
        <v>25112</v>
      </c>
      <c r="AI150" s="56"/>
      <c r="AJ150" s="56">
        <v>179634</v>
      </c>
      <c r="AK150" s="56"/>
      <c r="AL150" s="67">
        <f t="shared" si="20"/>
        <v>1049284</v>
      </c>
    </row>
    <row r="151" spans="1:38" ht="15.75">
      <c r="A151" s="63" t="s">
        <v>102</v>
      </c>
      <c r="B151" s="63" t="s">
        <v>104</v>
      </c>
      <c r="C151" s="63" t="s">
        <v>2</v>
      </c>
      <c r="D151" s="83">
        <v>1039.6</v>
      </c>
      <c r="E151" s="63">
        <v>59924.28</v>
      </c>
      <c r="F151" s="63">
        <v>0</v>
      </c>
      <c r="G151" s="63">
        <v>1592.8</v>
      </c>
      <c r="H151" s="63">
        <v>58331.48</v>
      </c>
      <c r="I151" s="63">
        <v>57881.77</v>
      </c>
      <c r="J151" s="66">
        <f t="shared" si="21"/>
        <v>4615.824</v>
      </c>
      <c r="K151" s="66">
        <f t="shared" si="22"/>
        <v>14845.487999999998</v>
      </c>
      <c r="L151" s="66">
        <f t="shared" si="23"/>
        <v>14720.735999999997</v>
      </c>
      <c r="M151" s="66">
        <f t="shared" si="24"/>
        <v>3243.5519999999997</v>
      </c>
      <c r="N151" s="66">
        <f t="shared" si="25"/>
        <v>748.512</v>
      </c>
      <c r="O151" s="66">
        <f t="shared" si="26"/>
        <v>2287.12</v>
      </c>
      <c r="P151" s="66">
        <v>821.76</v>
      </c>
      <c r="Q151" s="63"/>
      <c r="R151" s="63"/>
      <c r="S151" s="66">
        <f>D151*0.55*8+D151*0.59</f>
        <v>5187.603999999999</v>
      </c>
      <c r="T151" s="67">
        <f>SUM(J151:S151)</f>
        <v>46470.596</v>
      </c>
      <c r="U151" s="67"/>
      <c r="V151" s="67">
        <f>D151*3*8+D151*3.56*4</f>
        <v>39754.304</v>
      </c>
      <c r="W151" s="57"/>
      <c r="X151" s="56">
        <v>628</v>
      </c>
      <c r="Y151" s="56"/>
      <c r="Z151" s="56"/>
      <c r="AA151" s="56"/>
      <c r="AB151" s="56">
        <v>7053</v>
      </c>
      <c r="AC151" s="56">
        <v>12126</v>
      </c>
      <c r="AD151" s="56"/>
      <c r="AE151" s="56"/>
      <c r="AF151" s="56">
        <v>1616</v>
      </c>
      <c r="AG151" s="56"/>
      <c r="AH151" s="56">
        <v>2348</v>
      </c>
      <c r="AI151" s="56">
        <v>575</v>
      </c>
      <c r="AJ151" s="56">
        <v>2028</v>
      </c>
      <c r="AK151" s="56"/>
      <c r="AL151" s="67">
        <f t="shared" si="20"/>
        <v>26374</v>
      </c>
    </row>
    <row r="152" spans="1:38" ht="15.75">
      <c r="A152" s="68" t="s">
        <v>106</v>
      </c>
      <c r="B152" s="68" t="s">
        <v>70</v>
      </c>
      <c r="C152" s="63" t="s">
        <v>2</v>
      </c>
      <c r="D152" s="85">
        <v>129.7</v>
      </c>
      <c r="E152" s="63">
        <v>283.46</v>
      </c>
      <c r="F152" s="63">
        <v>0</v>
      </c>
      <c r="G152" s="63">
        <v>0</v>
      </c>
      <c r="H152" s="63">
        <v>283.46</v>
      </c>
      <c r="I152" s="63">
        <v>547.36</v>
      </c>
      <c r="J152" s="66">
        <f t="shared" si="21"/>
        <v>575.8679999999999</v>
      </c>
      <c r="K152" s="66">
        <f t="shared" si="22"/>
        <v>1852.116</v>
      </c>
      <c r="L152" s="66">
        <f t="shared" si="23"/>
        <v>1836.552</v>
      </c>
      <c r="M152" s="66">
        <f t="shared" si="24"/>
        <v>404.664</v>
      </c>
      <c r="N152" s="66">
        <f t="shared" si="25"/>
        <v>93.38399999999999</v>
      </c>
      <c r="O152" s="66">
        <f t="shared" si="26"/>
        <v>285.34</v>
      </c>
      <c r="P152" s="66"/>
      <c r="Q152" s="63"/>
      <c r="R152" s="63"/>
      <c r="S152" s="66">
        <f>D152*0.55*8+D152*0.59</f>
        <v>647.203</v>
      </c>
      <c r="T152" s="67">
        <f>SUM(J152:S152)</f>
        <v>5695.127</v>
      </c>
      <c r="U152" s="67"/>
      <c r="V152" s="67">
        <f>D152*3*8+D152*3.56*4</f>
        <v>4959.727999999999</v>
      </c>
      <c r="W152" s="57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67">
        <f t="shared" si="20"/>
        <v>0</v>
      </c>
    </row>
    <row r="153" spans="1:38" ht="15.75">
      <c r="A153" s="63" t="s">
        <v>106</v>
      </c>
      <c r="B153" s="63" t="s">
        <v>108</v>
      </c>
      <c r="C153" s="63" t="s">
        <v>2</v>
      </c>
      <c r="D153" s="83">
        <v>640.3</v>
      </c>
      <c r="E153" s="63">
        <v>46381.56</v>
      </c>
      <c r="F153" s="63">
        <v>0</v>
      </c>
      <c r="G153" s="63">
        <v>0</v>
      </c>
      <c r="H153" s="63">
        <v>46381.56</v>
      </c>
      <c r="I153" s="63">
        <v>46209.08</v>
      </c>
      <c r="J153" s="66">
        <f t="shared" si="21"/>
        <v>2842.932</v>
      </c>
      <c r="K153" s="66">
        <f t="shared" si="22"/>
        <v>9143.483999999999</v>
      </c>
      <c r="L153" s="66">
        <f t="shared" si="23"/>
        <v>9066.647999999997</v>
      </c>
      <c r="M153" s="66">
        <f t="shared" si="24"/>
        <v>1997.7359999999999</v>
      </c>
      <c r="N153" s="66">
        <f t="shared" si="25"/>
        <v>461.01599999999996</v>
      </c>
      <c r="O153" s="66">
        <f t="shared" si="26"/>
        <v>1408.6599999999999</v>
      </c>
      <c r="P153" s="66">
        <v>821.76</v>
      </c>
      <c r="Q153" s="63"/>
      <c r="R153" s="63">
        <v>11125</v>
      </c>
      <c r="S153" s="66">
        <f>D153*0.55*8+D153*0.59</f>
        <v>3195.097</v>
      </c>
      <c r="T153" s="67">
        <f>SUM(J153:S153)</f>
        <v>40062.33299999999</v>
      </c>
      <c r="U153" s="67"/>
      <c r="V153" s="67">
        <f>D153*3*8+D153*3.56*4</f>
        <v>24485.072</v>
      </c>
      <c r="W153" s="57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67">
        <f t="shared" si="20"/>
        <v>0</v>
      </c>
    </row>
    <row r="154" spans="1:38" ht="15.75">
      <c r="A154" s="63" t="s">
        <v>106</v>
      </c>
      <c r="B154" s="63" t="s">
        <v>109</v>
      </c>
      <c r="C154" s="63" t="s">
        <v>2</v>
      </c>
      <c r="D154" s="83">
        <v>636.1</v>
      </c>
      <c r="E154" s="63">
        <v>42187.52</v>
      </c>
      <c r="F154" s="63">
        <v>0</v>
      </c>
      <c r="G154" s="63">
        <v>0</v>
      </c>
      <c r="H154" s="63">
        <v>42187.52</v>
      </c>
      <c r="I154" s="63">
        <v>39002.05</v>
      </c>
      <c r="J154" s="66">
        <f t="shared" si="21"/>
        <v>2824.284</v>
      </c>
      <c r="K154" s="66">
        <f t="shared" si="22"/>
        <v>9083.508</v>
      </c>
      <c r="L154" s="66">
        <f t="shared" si="23"/>
        <v>9007.176</v>
      </c>
      <c r="M154" s="66">
        <f t="shared" si="24"/>
        <v>1984.6320000000003</v>
      </c>
      <c r="N154" s="66">
        <f t="shared" si="25"/>
        <v>457.99199999999996</v>
      </c>
      <c r="O154" s="66">
        <f t="shared" si="26"/>
        <v>1399.42</v>
      </c>
      <c r="P154" s="66">
        <v>821.76</v>
      </c>
      <c r="Q154" s="63"/>
      <c r="R154" s="63"/>
      <c r="S154" s="66">
        <f>D154*0.55*8+D154*0.59</f>
        <v>3174.139</v>
      </c>
      <c r="T154" s="67">
        <f>SUM(J154:S154)</f>
        <v>28752.911</v>
      </c>
      <c r="U154" s="67"/>
      <c r="V154" s="67">
        <f>D154*3*8+D154*3.56*4</f>
        <v>24324.464</v>
      </c>
      <c r="W154" s="57"/>
      <c r="X154" s="56">
        <v>2806</v>
      </c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67">
        <f t="shared" si="20"/>
        <v>2806</v>
      </c>
    </row>
    <row r="155" spans="1:38" ht="15.75">
      <c r="A155" s="63" t="s">
        <v>110</v>
      </c>
      <c r="B155" s="63" t="s">
        <v>1</v>
      </c>
      <c r="C155" s="63" t="s">
        <v>2</v>
      </c>
      <c r="D155" s="83">
        <v>3430</v>
      </c>
      <c r="E155" s="63">
        <v>209544.69</v>
      </c>
      <c r="F155" s="63">
        <v>0</v>
      </c>
      <c r="G155" s="63">
        <v>1016</v>
      </c>
      <c r="H155" s="63">
        <v>208528.69</v>
      </c>
      <c r="I155" s="63">
        <v>208538.21</v>
      </c>
      <c r="J155" s="66">
        <f t="shared" si="21"/>
        <v>15229.2</v>
      </c>
      <c r="K155" s="66">
        <f t="shared" si="22"/>
        <v>48980.399999999994</v>
      </c>
      <c r="L155" s="66">
        <f t="shared" si="23"/>
        <v>48568.799999999996</v>
      </c>
      <c r="M155" s="66">
        <f t="shared" si="24"/>
        <v>10701.6</v>
      </c>
      <c r="N155" s="66">
        <f t="shared" si="25"/>
        <v>2469.6</v>
      </c>
      <c r="O155" s="66">
        <f t="shared" si="26"/>
        <v>7546</v>
      </c>
      <c r="P155" s="66">
        <v>1083</v>
      </c>
      <c r="Q155" s="63">
        <v>12561</v>
      </c>
      <c r="R155" s="63"/>
      <c r="S155" s="66">
        <f>D155*0.55*8+D155*0.59</f>
        <v>17115.7</v>
      </c>
      <c r="T155" s="67">
        <f>SUM(J155:S155)</f>
        <v>164255.30000000002</v>
      </c>
      <c r="U155" s="67">
        <f>D155*1.34*8+D155*1.45*4</f>
        <v>56663.600000000006</v>
      </c>
      <c r="V155" s="67">
        <f>D155*3*8+D155*3.56*4</f>
        <v>131163.2</v>
      </c>
      <c r="W155" s="57">
        <v>4323</v>
      </c>
      <c r="X155" s="56">
        <v>3783</v>
      </c>
      <c r="Y155" s="56">
        <v>57120</v>
      </c>
      <c r="Z155" s="56">
        <v>11556</v>
      </c>
      <c r="AA155" s="56"/>
      <c r="AB155" s="56"/>
      <c r="AC155" s="56"/>
      <c r="AD155" s="56"/>
      <c r="AE155" s="56">
        <v>18430</v>
      </c>
      <c r="AF155" s="56">
        <v>5542</v>
      </c>
      <c r="AG155" s="56"/>
      <c r="AH155" s="56"/>
      <c r="AI155" s="56"/>
      <c r="AJ155" s="56"/>
      <c r="AK155" s="56"/>
      <c r="AL155" s="67">
        <f t="shared" si="20"/>
        <v>100754</v>
      </c>
    </row>
    <row r="156" spans="1:38" ht="15.75">
      <c r="A156" s="63" t="s">
        <v>110</v>
      </c>
      <c r="B156" s="63" t="s">
        <v>1</v>
      </c>
      <c r="C156" s="63" t="s">
        <v>111</v>
      </c>
      <c r="D156" s="83">
        <v>3452.8</v>
      </c>
      <c r="E156" s="63">
        <v>195278.96</v>
      </c>
      <c r="F156" s="63">
        <v>0</v>
      </c>
      <c r="G156" s="63">
        <v>2286</v>
      </c>
      <c r="H156" s="63">
        <v>192992.96</v>
      </c>
      <c r="I156" s="63">
        <v>177294.56</v>
      </c>
      <c r="J156" s="66">
        <f t="shared" si="21"/>
        <v>15330.432</v>
      </c>
      <c r="K156" s="66">
        <f t="shared" si="22"/>
        <v>49305.984000000004</v>
      </c>
      <c r="L156" s="66">
        <f t="shared" si="23"/>
        <v>48891.648</v>
      </c>
      <c r="M156" s="66">
        <f t="shared" si="24"/>
        <v>10772.736</v>
      </c>
      <c r="N156" s="66">
        <f t="shared" si="25"/>
        <v>2486.016</v>
      </c>
      <c r="O156" s="66">
        <f t="shared" si="26"/>
        <v>7596.16</v>
      </c>
      <c r="P156" s="66">
        <v>1083</v>
      </c>
      <c r="Q156" s="63">
        <v>12561</v>
      </c>
      <c r="R156" s="63"/>
      <c r="S156" s="66">
        <f>D156*0.55*8+D156*0.59</f>
        <v>17229.472</v>
      </c>
      <c r="T156" s="67">
        <f>SUM(J156:S156)</f>
        <v>165256.44800000003</v>
      </c>
      <c r="U156" s="67">
        <f>D156*1.34*8+D156*1.45*4</f>
        <v>57040.25600000001</v>
      </c>
      <c r="V156" s="67">
        <f>D156*3*8+D156*3.56*4</f>
        <v>132035.07200000001</v>
      </c>
      <c r="W156" s="57"/>
      <c r="X156" s="56"/>
      <c r="Y156" s="56">
        <v>65280</v>
      </c>
      <c r="Z156" s="56"/>
      <c r="AA156" s="56"/>
      <c r="AB156" s="56"/>
      <c r="AC156" s="56"/>
      <c r="AD156" s="56"/>
      <c r="AE156" s="56">
        <v>33350</v>
      </c>
      <c r="AF156" s="56"/>
      <c r="AG156" s="56"/>
      <c r="AH156" s="56"/>
      <c r="AI156" s="56"/>
      <c r="AJ156" s="56"/>
      <c r="AK156" s="56"/>
      <c r="AL156" s="67">
        <f t="shared" si="20"/>
        <v>98630</v>
      </c>
    </row>
    <row r="157" spans="1:38" ht="15.75">
      <c r="A157" s="63" t="s">
        <v>110</v>
      </c>
      <c r="B157" s="63" t="s">
        <v>34</v>
      </c>
      <c r="C157" s="63" t="s">
        <v>2</v>
      </c>
      <c r="D157" s="85">
        <v>61</v>
      </c>
      <c r="E157" s="63">
        <v>1133.86</v>
      </c>
      <c r="F157" s="63">
        <v>0</v>
      </c>
      <c r="G157" s="63">
        <v>0</v>
      </c>
      <c r="H157" s="63">
        <v>1133.86</v>
      </c>
      <c r="I157" s="63">
        <v>1284</v>
      </c>
      <c r="J157" s="66">
        <f t="shared" si="21"/>
        <v>270.84000000000003</v>
      </c>
      <c r="K157" s="66">
        <f t="shared" si="22"/>
        <v>871.08</v>
      </c>
      <c r="L157" s="66">
        <f t="shared" si="23"/>
        <v>863.7599999999999</v>
      </c>
      <c r="M157" s="66">
        <f t="shared" si="24"/>
        <v>190.32000000000002</v>
      </c>
      <c r="N157" s="66">
        <f t="shared" si="25"/>
        <v>43.919999999999995</v>
      </c>
      <c r="O157" s="66">
        <f t="shared" si="26"/>
        <v>134.2</v>
      </c>
      <c r="P157" s="66"/>
      <c r="Q157" s="63"/>
      <c r="R157" s="63"/>
      <c r="S157" s="66">
        <f>D157*0.55*8+D157*0.59</f>
        <v>304.39000000000004</v>
      </c>
      <c r="T157" s="67">
        <f>SUM(J157:S157)</f>
        <v>2678.5099999999998</v>
      </c>
      <c r="U157" s="67"/>
      <c r="V157" s="67">
        <f>D157*3*8+D157*3.56*4</f>
        <v>2332.64</v>
      </c>
      <c r="W157" s="57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67">
        <f t="shared" si="20"/>
        <v>0</v>
      </c>
    </row>
    <row r="158" spans="1:38" ht="15.75">
      <c r="A158" s="63" t="s">
        <v>112</v>
      </c>
      <c r="B158" s="63" t="s">
        <v>80</v>
      </c>
      <c r="C158" s="63" t="s">
        <v>2</v>
      </c>
      <c r="D158" s="85">
        <v>1207.2</v>
      </c>
      <c r="E158" s="63">
        <v>36242.69</v>
      </c>
      <c r="F158" s="63">
        <v>-8817.63</v>
      </c>
      <c r="G158" s="63">
        <v>0</v>
      </c>
      <c r="H158" s="63">
        <v>27425.06</v>
      </c>
      <c r="I158" s="63">
        <v>29581.96</v>
      </c>
      <c r="J158" s="66">
        <f t="shared" si="21"/>
        <v>5359.968</v>
      </c>
      <c r="K158" s="66">
        <f t="shared" si="22"/>
        <v>17238.816</v>
      </c>
      <c r="L158" s="66">
        <f t="shared" si="23"/>
        <v>17093.951999999997</v>
      </c>
      <c r="M158" s="66">
        <f t="shared" si="24"/>
        <v>3766.464</v>
      </c>
      <c r="N158" s="66">
        <f t="shared" si="25"/>
        <v>869.184</v>
      </c>
      <c r="O158" s="66">
        <f t="shared" si="26"/>
        <v>2655.84</v>
      </c>
      <c r="P158" s="66"/>
      <c r="Q158" s="63"/>
      <c r="R158" s="63"/>
      <c r="S158" s="66">
        <f>D158*0.55*8+D158*0.59</f>
        <v>6023.928</v>
      </c>
      <c r="T158" s="67">
        <f>SUM(J158:S158)</f>
        <v>53008.152</v>
      </c>
      <c r="U158" s="67"/>
      <c r="V158" s="67">
        <f>D158*3*8+D158*3.56*4</f>
        <v>46163.32800000001</v>
      </c>
      <c r="W158" s="57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67">
        <f t="shared" si="20"/>
        <v>0</v>
      </c>
    </row>
    <row r="159" spans="1:38" ht="15.75">
      <c r="A159" s="63" t="s">
        <v>113</v>
      </c>
      <c r="B159" s="63" t="s">
        <v>39</v>
      </c>
      <c r="C159" s="63" t="s">
        <v>2</v>
      </c>
      <c r="D159" s="83">
        <v>9787.2</v>
      </c>
      <c r="E159" s="63">
        <v>610792.86</v>
      </c>
      <c r="F159" s="63">
        <v>-23066.63</v>
      </c>
      <c r="G159" s="63">
        <v>2639</v>
      </c>
      <c r="H159" s="63">
        <v>585087.23</v>
      </c>
      <c r="I159" s="63">
        <v>606108.69</v>
      </c>
      <c r="J159" s="66">
        <f t="shared" si="21"/>
        <v>43455.168000000005</v>
      </c>
      <c r="K159" s="66">
        <f t="shared" si="22"/>
        <v>139761.21600000001</v>
      </c>
      <c r="L159" s="66">
        <f t="shared" si="23"/>
        <v>138586.752</v>
      </c>
      <c r="M159" s="66">
        <f t="shared" si="24"/>
        <v>30536.064000000006</v>
      </c>
      <c r="N159" s="66">
        <f t="shared" si="25"/>
        <v>7046.784</v>
      </c>
      <c r="O159" s="66">
        <f t="shared" si="26"/>
        <v>21531.840000000004</v>
      </c>
      <c r="P159" s="66">
        <v>2584.76</v>
      </c>
      <c r="Q159" s="63">
        <v>29978.92</v>
      </c>
      <c r="R159" s="63"/>
      <c r="S159" s="66">
        <f>D159*0.55*8+D159*0.59</f>
        <v>48838.12800000001</v>
      </c>
      <c r="T159" s="67">
        <f>SUM(J159:S159)</f>
        <v>462319.6320000001</v>
      </c>
      <c r="U159" s="67">
        <f>D159*1.34*8+D159*1.45*4</f>
        <v>161684.54400000002</v>
      </c>
      <c r="V159" s="67">
        <f>D159*3*8+D159*3.56*4</f>
        <v>374262.52800000005</v>
      </c>
      <c r="W159" s="57">
        <v>36853</v>
      </c>
      <c r="X159" s="56"/>
      <c r="Y159" s="56">
        <v>98049</v>
      </c>
      <c r="Z159" s="56">
        <v>872</v>
      </c>
      <c r="AA159" s="56"/>
      <c r="AB159" s="56"/>
      <c r="AC159" s="56"/>
      <c r="AD159" s="56"/>
      <c r="AE159" s="56">
        <v>21469</v>
      </c>
      <c r="AF159" s="56">
        <v>4450</v>
      </c>
      <c r="AG159" s="56"/>
      <c r="AH159" s="56">
        <v>7708</v>
      </c>
      <c r="AI159" s="56"/>
      <c r="AJ159" s="56">
        <v>33748</v>
      </c>
      <c r="AK159" s="56"/>
      <c r="AL159" s="67">
        <f t="shared" si="20"/>
        <v>203149</v>
      </c>
    </row>
    <row r="160" spans="1:38" ht="15.75">
      <c r="A160" s="63" t="s">
        <v>113</v>
      </c>
      <c r="B160" s="63" t="s">
        <v>39</v>
      </c>
      <c r="C160" s="63" t="s">
        <v>111</v>
      </c>
      <c r="D160" s="83">
        <v>2640.5</v>
      </c>
      <c r="E160" s="63">
        <v>149578.56</v>
      </c>
      <c r="F160" s="63">
        <v>0</v>
      </c>
      <c r="G160" s="63">
        <v>1016</v>
      </c>
      <c r="H160" s="63">
        <v>148562.56</v>
      </c>
      <c r="I160" s="63">
        <v>145335.89</v>
      </c>
      <c r="J160" s="66">
        <f t="shared" si="21"/>
        <v>11723.82</v>
      </c>
      <c r="K160" s="66">
        <f t="shared" si="22"/>
        <v>37706.34</v>
      </c>
      <c r="L160" s="66">
        <f t="shared" si="23"/>
        <v>37389.479999999996</v>
      </c>
      <c r="M160" s="66">
        <f t="shared" si="24"/>
        <v>8238.36</v>
      </c>
      <c r="N160" s="66">
        <f t="shared" si="25"/>
        <v>1901.16</v>
      </c>
      <c r="O160" s="66">
        <f t="shared" si="26"/>
        <v>5809.099999999999</v>
      </c>
      <c r="P160" s="66">
        <v>779.76</v>
      </c>
      <c r="Q160" s="63"/>
      <c r="R160" s="63"/>
      <c r="S160" s="66">
        <f>D160*0.55*8+D160*0.59</f>
        <v>13176.095000000001</v>
      </c>
      <c r="T160" s="67">
        <f>SUM(J160:S160)</f>
        <v>116724.11499999999</v>
      </c>
      <c r="U160" s="67">
        <f>D160*1.34*8+D160*1.45*4</f>
        <v>43621.060000000005</v>
      </c>
      <c r="V160" s="67">
        <f>D160*3*8+D160*3.56*4</f>
        <v>100972.72</v>
      </c>
      <c r="W160" s="57"/>
      <c r="X160" s="56"/>
      <c r="Y160" s="56"/>
      <c r="Z160" s="56"/>
      <c r="AA160" s="56"/>
      <c r="AB160" s="56"/>
      <c r="AC160" s="56"/>
      <c r="AD160" s="56"/>
      <c r="AE160" s="56">
        <v>4771</v>
      </c>
      <c r="AF160" s="56"/>
      <c r="AG160" s="56"/>
      <c r="AH160" s="56"/>
      <c r="AI160" s="56">
        <v>33942</v>
      </c>
      <c r="AJ160" s="56"/>
      <c r="AK160" s="56"/>
      <c r="AL160" s="67">
        <f t="shared" si="20"/>
        <v>38713</v>
      </c>
    </row>
    <row r="161" spans="1:38" ht="15.75">
      <c r="A161" s="63" t="s">
        <v>113</v>
      </c>
      <c r="B161" s="63" t="s">
        <v>13</v>
      </c>
      <c r="C161" s="63" t="s">
        <v>2</v>
      </c>
      <c r="D161" s="83">
        <v>3226.8</v>
      </c>
      <c r="E161" s="63">
        <v>181344.57</v>
      </c>
      <c r="F161" s="63">
        <v>0</v>
      </c>
      <c r="G161" s="63">
        <v>0</v>
      </c>
      <c r="H161" s="63">
        <v>181344.57</v>
      </c>
      <c r="I161" s="63">
        <v>171485.34</v>
      </c>
      <c r="J161" s="66">
        <f t="shared" si="21"/>
        <v>14326.992</v>
      </c>
      <c r="K161" s="66">
        <f t="shared" si="22"/>
        <v>46078.704</v>
      </c>
      <c r="L161" s="66">
        <f t="shared" si="23"/>
        <v>45691.488</v>
      </c>
      <c r="M161" s="66">
        <f t="shared" si="24"/>
        <v>10067.616000000002</v>
      </c>
      <c r="N161" s="66">
        <f t="shared" si="25"/>
        <v>2323.2960000000003</v>
      </c>
      <c r="O161" s="66">
        <f t="shared" si="26"/>
        <v>7098.96</v>
      </c>
      <c r="P161" s="66">
        <v>866.4</v>
      </c>
      <c r="Q161" s="63"/>
      <c r="R161" s="63"/>
      <c r="S161" s="66">
        <f>D161*0.55*8+D161*0.59</f>
        <v>16101.732000000002</v>
      </c>
      <c r="T161" s="67">
        <f>SUM(J161:S161)</f>
        <v>142555.188</v>
      </c>
      <c r="U161" s="67">
        <f>D161*1.34*8+D161*1.45*4</f>
        <v>53306.736000000004</v>
      </c>
      <c r="V161" s="67">
        <f>D161*3*8+D161*3.56*4</f>
        <v>123392.83200000002</v>
      </c>
      <c r="W161" s="57">
        <v>309</v>
      </c>
      <c r="X161" s="56"/>
      <c r="Y161" s="56">
        <v>32845</v>
      </c>
      <c r="Z161" s="56">
        <v>1308</v>
      </c>
      <c r="AA161" s="56"/>
      <c r="AB161" s="56"/>
      <c r="AC161" s="56"/>
      <c r="AD161" s="56"/>
      <c r="AE161" s="56">
        <v>124044</v>
      </c>
      <c r="AF161" s="56">
        <v>4848</v>
      </c>
      <c r="AG161" s="56"/>
      <c r="AH161" s="56"/>
      <c r="AI161" s="56">
        <v>67480</v>
      </c>
      <c r="AJ161" s="56"/>
      <c r="AK161" s="56"/>
      <c r="AL161" s="67">
        <f t="shared" si="20"/>
        <v>230834</v>
      </c>
    </row>
    <row r="162" spans="1:38" ht="15.75">
      <c r="A162" s="63" t="s">
        <v>113</v>
      </c>
      <c r="B162" s="63" t="s">
        <v>13</v>
      </c>
      <c r="C162" s="63" t="s">
        <v>111</v>
      </c>
      <c r="D162" s="83">
        <v>3243.9</v>
      </c>
      <c r="E162" s="63">
        <v>195692.95</v>
      </c>
      <c r="F162" s="63">
        <v>0</v>
      </c>
      <c r="G162" s="63">
        <v>0</v>
      </c>
      <c r="H162" s="63">
        <v>195692.95</v>
      </c>
      <c r="I162" s="63">
        <v>185204.86</v>
      </c>
      <c r="J162" s="66">
        <f t="shared" si="21"/>
        <v>14402.916000000001</v>
      </c>
      <c r="K162" s="66">
        <f t="shared" si="22"/>
        <v>46322.892</v>
      </c>
      <c r="L162" s="66">
        <f t="shared" si="23"/>
        <v>45933.623999999996</v>
      </c>
      <c r="M162" s="66">
        <f t="shared" si="24"/>
        <v>10120.968</v>
      </c>
      <c r="N162" s="66">
        <f t="shared" si="25"/>
        <v>2335.6079999999997</v>
      </c>
      <c r="O162" s="66">
        <f t="shared" si="26"/>
        <v>7136.58</v>
      </c>
      <c r="P162" s="66">
        <v>1420.2</v>
      </c>
      <c r="Q162" s="66">
        <v>10048.8</v>
      </c>
      <c r="R162" s="63"/>
      <c r="S162" s="66">
        <f>D162*0.55*8+D162*0.59</f>
        <v>16187.061000000002</v>
      </c>
      <c r="T162" s="67">
        <f>SUM(J162:S162)</f>
        <v>153908.64899999998</v>
      </c>
      <c r="U162" s="67">
        <f>D162*1.34*8+D162*1.45*4</f>
        <v>53589.228</v>
      </c>
      <c r="V162" s="67">
        <f>D162*3*8+D162*3.56*4</f>
        <v>124046.736</v>
      </c>
      <c r="W162" s="57">
        <v>16670</v>
      </c>
      <c r="X162" s="56"/>
      <c r="Y162" s="56"/>
      <c r="Z162" s="56">
        <v>523</v>
      </c>
      <c r="AA162" s="56">
        <v>18285</v>
      </c>
      <c r="AB162" s="56"/>
      <c r="AC162" s="56"/>
      <c r="AD162" s="56"/>
      <c r="AE162" s="56"/>
      <c r="AF162" s="56">
        <v>5542</v>
      </c>
      <c r="AG162" s="56"/>
      <c r="AH162" s="56">
        <v>2348</v>
      </c>
      <c r="AI162" s="56"/>
      <c r="AJ162" s="56"/>
      <c r="AK162" s="56"/>
      <c r="AL162" s="67">
        <f t="shared" si="20"/>
        <v>43368</v>
      </c>
    </row>
    <row r="163" spans="1:38" ht="15.75">
      <c r="A163" s="63" t="s">
        <v>113</v>
      </c>
      <c r="B163" s="63" t="s">
        <v>15</v>
      </c>
      <c r="C163" s="63" t="s">
        <v>2</v>
      </c>
      <c r="D163" s="83">
        <v>3253.4</v>
      </c>
      <c r="E163" s="63">
        <v>176232.87</v>
      </c>
      <c r="F163" s="63">
        <v>-2482.41</v>
      </c>
      <c r="G163" s="63">
        <v>1270</v>
      </c>
      <c r="H163" s="63">
        <v>172480.46</v>
      </c>
      <c r="I163" s="63">
        <v>173623.37</v>
      </c>
      <c r="J163" s="66">
        <f t="shared" si="21"/>
        <v>14445.096</v>
      </c>
      <c r="K163" s="66">
        <f t="shared" si="22"/>
        <v>46458.551999999996</v>
      </c>
      <c r="L163" s="66">
        <f t="shared" si="23"/>
        <v>46068.144</v>
      </c>
      <c r="M163" s="66">
        <f t="shared" si="24"/>
        <v>10150.608</v>
      </c>
      <c r="N163" s="66">
        <f t="shared" si="25"/>
        <v>2342.4480000000003</v>
      </c>
      <c r="O163" s="66">
        <f t="shared" si="26"/>
        <v>7157.48</v>
      </c>
      <c r="P163" s="66">
        <v>1420.2</v>
      </c>
      <c r="Q163" s="63"/>
      <c r="R163" s="63"/>
      <c r="S163" s="66">
        <f>D163*0.55*8+D163*0.59</f>
        <v>16234.466</v>
      </c>
      <c r="T163" s="67">
        <f>SUM(J163:S163)</f>
        <v>144276.994</v>
      </c>
      <c r="U163" s="67">
        <f>D163*1.34*8+D163*1.45*4</f>
        <v>53746.168000000005</v>
      </c>
      <c r="V163" s="67">
        <f>D163*3*8+D163*3.56*4</f>
        <v>124410.016</v>
      </c>
      <c r="W163" s="57">
        <v>11250</v>
      </c>
      <c r="X163" s="56"/>
      <c r="Y163" s="56">
        <v>79617</v>
      </c>
      <c r="Z163" s="56">
        <v>1308</v>
      </c>
      <c r="AA163" s="56"/>
      <c r="AB163" s="56"/>
      <c r="AC163" s="56"/>
      <c r="AD163" s="56"/>
      <c r="AE163" s="56">
        <v>104960</v>
      </c>
      <c r="AF163" s="56">
        <v>4848</v>
      </c>
      <c r="AG163" s="56"/>
      <c r="AH163" s="56">
        <v>2033</v>
      </c>
      <c r="AI163" s="56"/>
      <c r="AJ163" s="56">
        <v>1168</v>
      </c>
      <c r="AK163" s="56"/>
      <c r="AL163" s="67">
        <f t="shared" si="20"/>
        <v>205184</v>
      </c>
    </row>
    <row r="164" spans="1:38" ht="15.75">
      <c r="A164" s="63" t="s">
        <v>113</v>
      </c>
      <c r="B164" s="63" t="s">
        <v>17</v>
      </c>
      <c r="C164" s="63" t="s">
        <v>2</v>
      </c>
      <c r="D164" s="83">
        <v>15643.7</v>
      </c>
      <c r="E164" s="63">
        <v>896134.28</v>
      </c>
      <c r="F164" s="63">
        <v>0</v>
      </c>
      <c r="G164" s="63">
        <v>0</v>
      </c>
      <c r="H164" s="63">
        <v>896134.28</v>
      </c>
      <c r="I164" s="63">
        <v>880954.53</v>
      </c>
      <c r="J164" s="66">
        <f t="shared" si="21"/>
        <v>69458.028</v>
      </c>
      <c r="K164" s="66">
        <f t="shared" si="22"/>
        <v>223392.03600000002</v>
      </c>
      <c r="L164" s="66">
        <f t="shared" si="23"/>
        <v>221514.792</v>
      </c>
      <c r="M164" s="66">
        <f t="shared" si="24"/>
        <v>48808.344000000005</v>
      </c>
      <c r="N164" s="66">
        <f t="shared" si="25"/>
        <v>11263.464</v>
      </c>
      <c r="O164" s="66">
        <f t="shared" si="26"/>
        <v>34416.14</v>
      </c>
      <c r="P164" s="66">
        <v>3971</v>
      </c>
      <c r="Q164" s="63"/>
      <c r="R164" s="63"/>
      <c r="S164" s="66">
        <f>D164*0.55*8+D164*0.59</f>
        <v>78062.06300000001</v>
      </c>
      <c r="T164" s="67">
        <f>SUM(J164:S164)</f>
        <v>690885.8670000001</v>
      </c>
      <c r="U164" s="67">
        <f>D164*1.34*8+D164*1.45*4</f>
        <v>258433.924</v>
      </c>
      <c r="V164" s="67">
        <f>D164*3*8+D164*3.56*4</f>
        <v>598215.088</v>
      </c>
      <c r="W164" s="57">
        <v>58534</v>
      </c>
      <c r="X164" s="56">
        <v>1257</v>
      </c>
      <c r="Y164" s="56">
        <v>33843</v>
      </c>
      <c r="Z164" s="56">
        <v>1743</v>
      </c>
      <c r="AA164" s="56">
        <v>2345</v>
      </c>
      <c r="AB164" s="56">
        <v>668</v>
      </c>
      <c r="AC164" s="56"/>
      <c r="AD164" s="56"/>
      <c r="AE164" s="56"/>
      <c r="AF164" s="56"/>
      <c r="AG164" s="56">
        <v>12214</v>
      </c>
      <c r="AH164" s="56">
        <v>30675</v>
      </c>
      <c r="AI164" s="56"/>
      <c r="AJ164" s="56">
        <v>1666</v>
      </c>
      <c r="AK164" s="56">
        <v>1015</v>
      </c>
      <c r="AL164" s="67">
        <f t="shared" si="20"/>
        <v>143960</v>
      </c>
    </row>
    <row r="165" spans="1:38" ht="15.75">
      <c r="A165" s="63" t="s">
        <v>113</v>
      </c>
      <c r="B165" s="63" t="s">
        <v>21</v>
      </c>
      <c r="C165" s="63" t="s">
        <v>66</v>
      </c>
      <c r="D165" s="83">
        <v>3124</v>
      </c>
      <c r="E165" s="63">
        <v>176378.62</v>
      </c>
      <c r="F165" s="63">
        <v>0</v>
      </c>
      <c r="G165" s="63">
        <v>0</v>
      </c>
      <c r="H165" s="63">
        <v>176378.62</v>
      </c>
      <c r="I165" s="63">
        <v>166371.46</v>
      </c>
      <c r="J165" s="66">
        <f t="shared" si="21"/>
        <v>13870.56</v>
      </c>
      <c r="K165" s="66">
        <f t="shared" si="22"/>
        <v>44610.72</v>
      </c>
      <c r="L165" s="66">
        <f t="shared" si="23"/>
        <v>44235.84</v>
      </c>
      <c r="M165" s="66">
        <f t="shared" si="24"/>
        <v>9746.880000000001</v>
      </c>
      <c r="N165" s="66">
        <f t="shared" si="25"/>
        <v>2249.2799999999997</v>
      </c>
      <c r="O165" s="66">
        <f t="shared" si="26"/>
        <v>6872.799999999999</v>
      </c>
      <c r="P165" s="66">
        <v>1039.68</v>
      </c>
      <c r="Q165" s="63"/>
      <c r="R165" s="63"/>
      <c r="S165" s="66">
        <f>D165*0.55*8+D165*0.59</f>
        <v>15588.76</v>
      </c>
      <c r="T165" s="67">
        <f>SUM(J165:S165)</f>
        <v>138214.52</v>
      </c>
      <c r="U165" s="67">
        <f>D165*1.34*8+D165*1.45*4</f>
        <v>51608.479999999996</v>
      </c>
      <c r="V165" s="67">
        <f>D165*3*8+D165*3.56*4</f>
        <v>119461.76000000001</v>
      </c>
      <c r="W165" s="57"/>
      <c r="X165" s="56">
        <v>10056</v>
      </c>
      <c r="Y165" s="56">
        <v>79025</v>
      </c>
      <c r="Z165" s="56">
        <v>1326</v>
      </c>
      <c r="AA165" s="56"/>
      <c r="AB165" s="56"/>
      <c r="AC165" s="56"/>
      <c r="AD165" s="56"/>
      <c r="AE165" s="56"/>
      <c r="AF165" s="56"/>
      <c r="AG165" s="56"/>
      <c r="AH165" s="56">
        <v>2098</v>
      </c>
      <c r="AI165" s="56"/>
      <c r="AJ165" s="56">
        <v>3915</v>
      </c>
      <c r="AK165" s="56"/>
      <c r="AL165" s="67">
        <f t="shared" si="20"/>
        <v>96420</v>
      </c>
    </row>
    <row r="166" spans="1:38" ht="15.75">
      <c r="A166" s="63" t="s">
        <v>113</v>
      </c>
      <c r="B166" s="63" t="s">
        <v>21</v>
      </c>
      <c r="C166" s="63" t="s">
        <v>111</v>
      </c>
      <c r="D166" s="84">
        <v>3148.3</v>
      </c>
      <c r="E166" s="63">
        <v>206090.97</v>
      </c>
      <c r="F166" s="63">
        <v>0</v>
      </c>
      <c r="G166" s="63">
        <v>0</v>
      </c>
      <c r="H166" s="63">
        <v>206090.97</v>
      </c>
      <c r="I166" s="63">
        <v>209688.73</v>
      </c>
      <c r="J166" s="66">
        <f t="shared" si="21"/>
        <v>13978.452000000001</v>
      </c>
      <c r="K166" s="66">
        <f t="shared" si="22"/>
        <v>44957.724</v>
      </c>
      <c r="L166" s="66">
        <f t="shared" si="23"/>
        <v>44579.928</v>
      </c>
      <c r="M166" s="66">
        <f t="shared" si="24"/>
        <v>9822.696000000002</v>
      </c>
      <c r="N166" s="66">
        <f t="shared" si="25"/>
        <v>2266.776</v>
      </c>
      <c r="O166" s="66">
        <f t="shared" si="26"/>
        <v>6926.26</v>
      </c>
      <c r="P166" s="66">
        <v>779.76</v>
      </c>
      <c r="Q166" s="63"/>
      <c r="R166" s="63"/>
      <c r="S166" s="66">
        <f>D166*0.55*8+D166*0.59</f>
        <v>15710.017000000002</v>
      </c>
      <c r="T166" s="67">
        <f>SUM(J166:S166)</f>
        <v>139021.61299999998</v>
      </c>
      <c r="U166" s="67">
        <f>D166*1.34*8+D166*1.45*4</f>
        <v>52009.916000000005</v>
      </c>
      <c r="V166" s="67">
        <f>D166*3*8+D166*3.56*4</f>
        <v>120390.99200000001</v>
      </c>
      <c r="W166" s="57">
        <v>37081</v>
      </c>
      <c r="X166" s="56">
        <v>8799</v>
      </c>
      <c r="Y166" s="56">
        <v>80898</v>
      </c>
      <c r="Z166" s="56"/>
      <c r="AA166" s="56"/>
      <c r="AB166" s="56"/>
      <c r="AC166" s="56"/>
      <c r="AD166" s="56"/>
      <c r="AE166" s="56"/>
      <c r="AF166" s="56"/>
      <c r="AG166" s="56"/>
      <c r="AH166" s="56">
        <v>2613</v>
      </c>
      <c r="AI166" s="56"/>
      <c r="AJ166" s="56"/>
      <c r="AK166" s="56"/>
      <c r="AL166" s="67">
        <f t="shared" si="20"/>
        <v>129391</v>
      </c>
    </row>
    <row r="167" spans="1:38" ht="15.75">
      <c r="A167" s="63" t="s">
        <v>113</v>
      </c>
      <c r="B167" s="63" t="s">
        <v>21</v>
      </c>
      <c r="C167" s="63" t="s">
        <v>114</v>
      </c>
      <c r="D167" s="84">
        <v>1563.4</v>
      </c>
      <c r="E167" s="63">
        <v>91103.64</v>
      </c>
      <c r="F167" s="63">
        <v>0</v>
      </c>
      <c r="G167" s="63">
        <v>2032</v>
      </c>
      <c r="H167" s="63">
        <v>89071.64</v>
      </c>
      <c r="I167" s="63">
        <v>85809.63</v>
      </c>
      <c r="J167" s="66">
        <f t="shared" si="21"/>
        <v>6941.496</v>
      </c>
      <c r="K167" s="66">
        <f t="shared" si="22"/>
        <v>22325.352</v>
      </c>
      <c r="L167" s="66">
        <f t="shared" si="23"/>
        <v>22137.744</v>
      </c>
      <c r="M167" s="66">
        <f t="shared" si="24"/>
        <v>4877.808000000001</v>
      </c>
      <c r="N167" s="66">
        <f t="shared" si="25"/>
        <v>1125.6480000000001</v>
      </c>
      <c r="O167" s="66">
        <f t="shared" si="26"/>
        <v>3439.48</v>
      </c>
      <c r="P167" s="66">
        <v>519.84</v>
      </c>
      <c r="Q167" s="63"/>
      <c r="R167" s="63"/>
      <c r="S167" s="66">
        <f>D167*0.55*8+D167*0.59</f>
        <v>7801.366000000001</v>
      </c>
      <c r="T167" s="67">
        <f>SUM(J167:S167)</f>
        <v>69168.734</v>
      </c>
      <c r="U167" s="67">
        <f>D167*1.34*8+D167*1.45*4</f>
        <v>25827.368000000002</v>
      </c>
      <c r="V167" s="67">
        <f>D167*3*8+D167*3.56*4</f>
        <v>59784.41600000001</v>
      </c>
      <c r="W167" s="57"/>
      <c r="X167" s="56">
        <v>11313</v>
      </c>
      <c r="Y167" s="56">
        <v>55377</v>
      </c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67">
        <f t="shared" si="20"/>
        <v>66690</v>
      </c>
    </row>
    <row r="168" spans="1:38" ht="15.75">
      <c r="A168" s="63" t="s">
        <v>113</v>
      </c>
      <c r="B168" s="63" t="s">
        <v>84</v>
      </c>
      <c r="C168" s="63" t="s">
        <v>66</v>
      </c>
      <c r="D168" s="84">
        <v>17400.5</v>
      </c>
      <c r="E168" s="63">
        <v>1060023.15</v>
      </c>
      <c r="F168" s="63">
        <v>0</v>
      </c>
      <c r="G168" s="63">
        <v>7171.2</v>
      </c>
      <c r="H168" s="63">
        <v>1052851.95</v>
      </c>
      <c r="I168" s="63">
        <v>1009877.2</v>
      </c>
      <c r="J168" s="66">
        <f t="shared" si="21"/>
        <v>77258.22</v>
      </c>
      <c r="K168" s="66">
        <f t="shared" si="22"/>
        <v>248479.13999999996</v>
      </c>
      <c r="L168" s="66">
        <f t="shared" si="23"/>
        <v>246391.08000000002</v>
      </c>
      <c r="M168" s="66">
        <f t="shared" si="24"/>
        <v>54289.56</v>
      </c>
      <c r="N168" s="66">
        <f t="shared" si="25"/>
        <v>12528.36</v>
      </c>
      <c r="O168" s="66">
        <f t="shared" si="26"/>
        <v>38281.1</v>
      </c>
      <c r="P168" s="66">
        <v>5169.52</v>
      </c>
      <c r="Q168" s="63"/>
      <c r="R168" s="63"/>
      <c r="S168" s="66">
        <f>D168*0.55*8+D168*0.59</f>
        <v>86828.49500000001</v>
      </c>
      <c r="T168" s="67">
        <f>SUM(J168:S168)</f>
        <v>769225.475</v>
      </c>
      <c r="U168" s="67">
        <f>D168*1.34*8+D168*1.45*4</f>
        <v>287456.26</v>
      </c>
      <c r="V168" s="67">
        <f>D168*3*8+D168*3.56*4</f>
        <v>665395.12</v>
      </c>
      <c r="W168" s="57"/>
      <c r="X168" s="56"/>
      <c r="Y168" s="56">
        <v>87106</v>
      </c>
      <c r="Z168" s="56"/>
      <c r="AA168" s="56">
        <v>5956</v>
      </c>
      <c r="AB168" s="56"/>
      <c r="AC168" s="56"/>
      <c r="AD168" s="56"/>
      <c r="AE168" s="56"/>
      <c r="AF168" s="56">
        <v>17368</v>
      </c>
      <c r="AG168" s="56"/>
      <c r="AH168" s="56">
        <v>66426</v>
      </c>
      <c r="AI168" s="56"/>
      <c r="AJ168" s="56"/>
      <c r="AK168" s="56"/>
      <c r="AL168" s="67">
        <f t="shared" si="20"/>
        <v>176856</v>
      </c>
    </row>
    <row r="169" spans="1:38" ht="15.75">
      <c r="A169" s="63" t="s">
        <v>113</v>
      </c>
      <c r="B169" s="63" t="s">
        <v>84</v>
      </c>
      <c r="C169" s="63" t="s">
        <v>111</v>
      </c>
      <c r="D169" s="84">
        <v>3444</v>
      </c>
      <c r="E169" s="63">
        <v>199971.38</v>
      </c>
      <c r="F169" s="63">
        <v>-2664.65</v>
      </c>
      <c r="G169" s="63">
        <v>1016</v>
      </c>
      <c r="H169" s="63">
        <v>196290.73</v>
      </c>
      <c r="I169" s="63">
        <v>192910.77</v>
      </c>
      <c r="J169" s="66">
        <f t="shared" si="21"/>
        <v>15291.36</v>
      </c>
      <c r="K169" s="66">
        <f t="shared" si="22"/>
        <v>49180.31999999999</v>
      </c>
      <c r="L169" s="66">
        <f t="shared" si="23"/>
        <v>48767.03999999999</v>
      </c>
      <c r="M169" s="66">
        <f t="shared" si="24"/>
        <v>10745.28</v>
      </c>
      <c r="N169" s="66">
        <f t="shared" si="25"/>
        <v>2479.68</v>
      </c>
      <c r="O169" s="66">
        <f t="shared" si="26"/>
        <v>7576.799999999999</v>
      </c>
      <c r="P169" s="66">
        <v>1083</v>
      </c>
      <c r="Q169" s="63"/>
      <c r="R169" s="63"/>
      <c r="S169" s="66">
        <f>D169*0.55*8+D169*0.59</f>
        <v>17185.56</v>
      </c>
      <c r="T169" s="67">
        <f>SUM(J169:S169)</f>
        <v>152309.03999999998</v>
      </c>
      <c r="U169" s="67">
        <f>D169*1.34*8+D169*1.45*4</f>
        <v>56894.880000000005</v>
      </c>
      <c r="V169" s="67">
        <f>D169*3*8+D169*3.56*4</f>
        <v>131698.56</v>
      </c>
      <c r="W169" s="57">
        <v>3180</v>
      </c>
      <c r="X169" s="56"/>
      <c r="Y169" s="56">
        <v>79983</v>
      </c>
      <c r="Z169" s="56"/>
      <c r="AA169" s="56">
        <v>12689</v>
      </c>
      <c r="AB169" s="56">
        <v>15139</v>
      </c>
      <c r="AC169" s="56"/>
      <c r="AD169" s="56"/>
      <c r="AE169" s="56"/>
      <c r="AF169" s="56"/>
      <c r="AG169" s="56"/>
      <c r="AH169" s="56"/>
      <c r="AI169" s="56"/>
      <c r="AJ169" s="56">
        <v>22260</v>
      </c>
      <c r="AK169" s="56"/>
      <c r="AL169" s="67">
        <f t="shared" si="20"/>
        <v>133251</v>
      </c>
    </row>
    <row r="170" spans="1:38" ht="15.75">
      <c r="A170" s="63" t="s">
        <v>113</v>
      </c>
      <c r="B170" s="63" t="s">
        <v>84</v>
      </c>
      <c r="C170" s="63" t="s">
        <v>114</v>
      </c>
      <c r="D170" s="83">
        <v>3498.3</v>
      </c>
      <c r="E170" s="63">
        <v>199584.72</v>
      </c>
      <c r="F170" s="63">
        <v>0</v>
      </c>
      <c r="G170" s="63">
        <v>0</v>
      </c>
      <c r="H170" s="63">
        <v>199584.72</v>
      </c>
      <c r="I170" s="63">
        <v>202954.63</v>
      </c>
      <c r="J170" s="66">
        <f t="shared" si="21"/>
        <v>15532.452000000001</v>
      </c>
      <c r="K170" s="66">
        <f t="shared" si="22"/>
        <v>49955.724</v>
      </c>
      <c r="L170" s="66">
        <f t="shared" si="23"/>
        <v>49535.928</v>
      </c>
      <c r="M170" s="66">
        <f t="shared" si="24"/>
        <v>10914.696000000002</v>
      </c>
      <c r="N170" s="66">
        <f t="shared" si="25"/>
        <v>2518.776</v>
      </c>
      <c r="O170" s="66">
        <f t="shared" si="26"/>
        <v>7696.26</v>
      </c>
      <c r="P170" s="66">
        <v>1083</v>
      </c>
      <c r="Q170" s="63"/>
      <c r="R170" s="63"/>
      <c r="S170" s="66">
        <f>D170*0.55*8+D170*0.59</f>
        <v>17456.517000000003</v>
      </c>
      <c r="T170" s="67">
        <f>SUM(J170:S170)</f>
        <v>154693.353</v>
      </c>
      <c r="U170" s="67">
        <f>D170*1.34*8+D170*1.45*4</f>
        <v>57791.916000000005</v>
      </c>
      <c r="V170" s="67">
        <f>D170*3*8+D170*3.56*4</f>
        <v>133774.99200000003</v>
      </c>
      <c r="W170" s="57">
        <v>7013</v>
      </c>
      <c r="X170" s="56"/>
      <c r="Y170" s="56">
        <v>19984</v>
      </c>
      <c r="Z170" s="56"/>
      <c r="AA170" s="56">
        <v>4779</v>
      </c>
      <c r="AB170" s="56"/>
      <c r="AC170" s="56"/>
      <c r="AD170" s="56"/>
      <c r="AE170" s="56"/>
      <c r="AF170" s="56">
        <v>11377</v>
      </c>
      <c r="AG170" s="56"/>
      <c r="AH170" s="56">
        <v>5252</v>
      </c>
      <c r="AI170" s="56"/>
      <c r="AJ170" s="56"/>
      <c r="AK170" s="56"/>
      <c r="AL170" s="67">
        <f t="shared" si="20"/>
        <v>48405</v>
      </c>
    </row>
    <row r="171" spans="1:38" ht="15.75">
      <c r="A171" s="63" t="s">
        <v>113</v>
      </c>
      <c r="B171" s="63" t="s">
        <v>115</v>
      </c>
      <c r="C171" s="63" t="s">
        <v>111</v>
      </c>
      <c r="D171" s="83">
        <v>14099.8</v>
      </c>
      <c r="E171" s="63">
        <v>817881.82</v>
      </c>
      <c r="F171" s="63">
        <v>0</v>
      </c>
      <c r="G171" s="63">
        <v>0</v>
      </c>
      <c r="H171" s="63">
        <v>817881.82</v>
      </c>
      <c r="I171" s="63">
        <v>787655.02</v>
      </c>
      <c r="J171" s="66">
        <f t="shared" si="21"/>
        <v>62603.111999999994</v>
      </c>
      <c r="K171" s="66">
        <f t="shared" si="22"/>
        <v>201345.14399999997</v>
      </c>
      <c r="L171" s="66">
        <f t="shared" si="23"/>
        <v>199653.168</v>
      </c>
      <c r="M171" s="66">
        <f t="shared" si="24"/>
        <v>43991.376</v>
      </c>
      <c r="N171" s="66">
        <f t="shared" si="25"/>
        <v>10151.856</v>
      </c>
      <c r="O171" s="66">
        <f t="shared" si="26"/>
        <v>31019.559999999998</v>
      </c>
      <c r="P171" s="66">
        <v>4144.28</v>
      </c>
      <c r="Q171" s="63"/>
      <c r="R171" s="63"/>
      <c r="S171" s="66">
        <f>D171*0.55*8+D171*0.59</f>
        <v>70358.00200000001</v>
      </c>
      <c r="T171" s="67">
        <f>SUM(J171:S171)</f>
        <v>623266.498</v>
      </c>
      <c r="U171" s="67">
        <f>D171*1.34*8+D171*1.45*4</f>
        <v>232928.696</v>
      </c>
      <c r="V171" s="67">
        <f>D171*3*8+D171*3.56*4</f>
        <v>539176.352</v>
      </c>
      <c r="W171" s="57">
        <v>54530</v>
      </c>
      <c r="X171" s="56"/>
      <c r="Y171" s="56">
        <v>19984</v>
      </c>
      <c r="Z171" s="56">
        <v>22914</v>
      </c>
      <c r="AA171" s="56">
        <v>924817</v>
      </c>
      <c r="AB171" s="56"/>
      <c r="AC171" s="56"/>
      <c r="AD171" s="56"/>
      <c r="AE171" s="56"/>
      <c r="AF171" s="56">
        <v>22826</v>
      </c>
      <c r="AG171" s="56">
        <v>44385</v>
      </c>
      <c r="AH171" s="56">
        <v>57396</v>
      </c>
      <c r="AI171" s="56"/>
      <c r="AJ171" s="56">
        <v>5229</v>
      </c>
      <c r="AK171" s="56">
        <v>1130</v>
      </c>
      <c r="AL171" s="67">
        <f t="shared" si="20"/>
        <v>1153211</v>
      </c>
    </row>
    <row r="172" spans="1:38" ht="15.75">
      <c r="A172" s="63" t="s">
        <v>113</v>
      </c>
      <c r="B172" s="63" t="s">
        <v>27</v>
      </c>
      <c r="C172" s="63" t="s">
        <v>66</v>
      </c>
      <c r="D172" s="83">
        <v>2152.2</v>
      </c>
      <c r="E172" s="63">
        <v>115250.55</v>
      </c>
      <c r="F172" s="63">
        <v>0</v>
      </c>
      <c r="G172" s="63">
        <v>0</v>
      </c>
      <c r="H172" s="63">
        <v>115250.55</v>
      </c>
      <c r="I172" s="63">
        <v>114532.51</v>
      </c>
      <c r="J172" s="66">
        <f t="shared" si="21"/>
        <v>9555.768</v>
      </c>
      <c r="K172" s="66">
        <f t="shared" si="22"/>
        <v>30733.415999999994</v>
      </c>
      <c r="L172" s="66">
        <f t="shared" si="23"/>
        <v>30475.151999999995</v>
      </c>
      <c r="M172" s="66">
        <f t="shared" si="24"/>
        <v>6714.864</v>
      </c>
      <c r="N172" s="66">
        <f t="shared" si="25"/>
        <v>1549.5839999999998</v>
      </c>
      <c r="O172" s="66">
        <f t="shared" si="26"/>
        <v>4734.839999999999</v>
      </c>
      <c r="P172" s="66">
        <v>5198.4</v>
      </c>
      <c r="Q172" s="63"/>
      <c r="R172" s="63"/>
      <c r="S172" s="66">
        <f>D172*0.55*8+D172*0.59</f>
        <v>10739.478</v>
      </c>
      <c r="T172" s="67">
        <f>SUM(J172:S172)</f>
        <v>99701.50199999998</v>
      </c>
      <c r="U172" s="67">
        <f>D172*1.34*8+D172*1.45*4</f>
        <v>35554.344</v>
      </c>
      <c r="V172" s="67">
        <f>D172*3*8+D172*3.56*4</f>
        <v>82300.128</v>
      </c>
      <c r="W172" s="57">
        <v>4007</v>
      </c>
      <c r="X172" s="56">
        <v>7542</v>
      </c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>
        <v>8768</v>
      </c>
      <c r="AJ172" s="56"/>
      <c r="AK172" s="56"/>
      <c r="AL172" s="67">
        <f t="shared" si="20"/>
        <v>20317</v>
      </c>
    </row>
    <row r="173" spans="1:38" ht="15.75">
      <c r="A173" s="63" t="s">
        <v>113</v>
      </c>
      <c r="B173" s="63" t="s">
        <v>27</v>
      </c>
      <c r="C173" s="63" t="s">
        <v>111</v>
      </c>
      <c r="D173" s="83">
        <v>1580.5</v>
      </c>
      <c r="E173" s="63">
        <v>100517.51</v>
      </c>
      <c r="F173" s="63">
        <v>0</v>
      </c>
      <c r="G173" s="63">
        <v>0</v>
      </c>
      <c r="H173" s="63">
        <v>100517.51</v>
      </c>
      <c r="I173" s="63">
        <v>102928.88</v>
      </c>
      <c r="J173" s="66">
        <f t="shared" si="21"/>
        <v>7017.42</v>
      </c>
      <c r="K173" s="66">
        <f t="shared" si="22"/>
        <v>22569.539999999997</v>
      </c>
      <c r="L173" s="66">
        <f t="shared" si="23"/>
        <v>22379.88</v>
      </c>
      <c r="M173" s="66">
        <f t="shared" si="24"/>
        <v>4931.16</v>
      </c>
      <c r="N173" s="66">
        <f t="shared" si="25"/>
        <v>1137.96</v>
      </c>
      <c r="O173" s="66">
        <f t="shared" si="26"/>
        <v>3477.1000000000004</v>
      </c>
      <c r="P173" s="66">
        <v>519.84</v>
      </c>
      <c r="Q173" s="63"/>
      <c r="R173" s="63"/>
      <c r="S173" s="66">
        <f>D173*0.55*8+D173*0.59</f>
        <v>7886.695000000001</v>
      </c>
      <c r="T173" s="67">
        <f>SUM(J173:S173)</f>
        <v>69919.595</v>
      </c>
      <c r="U173" s="67">
        <f>D173*1.34*8+D173*1.45*4</f>
        <v>26109.86</v>
      </c>
      <c r="V173" s="67">
        <f>D173*3*8+D173*3.56*4</f>
        <v>60438.32</v>
      </c>
      <c r="W173" s="57">
        <v>13199</v>
      </c>
      <c r="X173" s="56">
        <v>13827</v>
      </c>
      <c r="Y173" s="56">
        <v>31728</v>
      </c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>
        <v>2738</v>
      </c>
      <c r="AK173" s="56"/>
      <c r="AL173" s="67">
        <f t="shared" si="20"/>
        <v>61492</v>
      </c>
    </row>
    <row r="174" spans="1:38" ht="15.75">
      <c r="A174" s="68" t="s">
        <v>113</v>
      </c>
      <c r="B174" s="68" t="s">
        <v>27</v>
      </c>
      <c r="C174" s="68" t="s">
        <v>114</v>
      </c>
      <c r="D174" s="83">
        <v>4137.9</v>
      </c>
      <c r="E174" s="63"/>
      <c r="F174" s="63"/>
      <c r="G174" s="63"/>
      <c r="H174" s="63"/>
      <c r="I174" s="63"/>
      <c r="J174" s="66">
        <f t="shared" si="21"/>
        <v>18372.275999999998</v>
      </c>
      <c r="K174" s="66">
        <f t="shared" si="22"/>
        <v>59089.212</v>
      </c>
      <c r="L174" s="66">
        <f t="shared" si="23"/>
        <v>58592.664</v>
      </c>
      <c r="M174" s="66">
        <f t="shared" si="24"/>
        <v>12910.248</v>
      </c>
      <c r="N174" s="66">
        <f t="shared" si="25"/>
        <v>2979.2879999999996</v>
      </c>
      <c r="O174" s="66">
        <f t="shared" si="26"/>
        <v>9103.38</v>
      </c>
      <c r="P174" s="66">
        <v>1039.68</v>
      </c>
      <c r="Q174" s="63"/>
      <c r="R174" s="63"/>
      <c r="S174" s="66">
        <f>D174*0.55*8+D174*0.59</f>
        <v>20648.121</v>
      </c>
      <c r="T174" s="67">
        <f>SUM(J174:S174)</f>
        <v>182734.869</v>
      </c>
      <c r="U174" s="67">
        <f>D174*1.34*8+D174*1.45*4</f>
        <v>68358.108</v>
      </c>
      <c r="V174" s="67">
        <f>D174*3*8+D174*3.56*4</f>
        <v>158233.29599999997</v>
      </c>
      <c r="W174" s="57">
        <v>7704</v>
      </c>
      <c r="X174" s="56">
        <v>5028</v>
      </c>
      <c r="Y174" s="56">
        <v>28149</v>
      </c>
      <c r="Z174" s="56">
        <v>1568</v>
      </c>
      <c r="AA174" s="56">
        <v>17773</v>
      </c>
      <c r="AB174" s="56">
        <v>861</v>
      </c>
      <c r="AC174" s="56"/>
      <c r="AD174" s="56"/>
      <c r="AE174" s="56"/>
      <c r="AF174" s="56">
        <v>6238</v>
      </c>
      <c r="AG174" s="56"/>
      <c r="AH174" s="56">
        <v>2098</v>
      </c>
      <c r="AI174" s="56"/>
      <c r="AJ174" s="56">
        <v>9453</v>
      </c>
      <c r="AK174" s="56"/>
      <c r="AL174" s="67">
        <f t="shared" si="20"/>
        <v>78872</v>
      </c>
    </row>
    <row r="175" spans="1:38" ht="15.75">
      <c r="A175" s="63" t="s">
        <v>113</v>
      </c>
      <c r="B175" s="63" t="s">
        <v>28</v>
      </c>
      <c r="C175" s="63" t="s">
        <v>114</v>
      </c>
      <c r="D175" s="83">
        <v>3468.1</v>
      </c>
      <c r="E175" s="63">
        <v>203092.38</v>
      </c>
      <c r="F175" s="63">
        <v>0</v>
      </c>
      <c r="G175" s="63">
        <v>0</v>
      </c>
      <c r="H175" s="63">
        <v>203092.38</v>
      </c>
      <c r="I175" s="63">
        <v>200810.36</v>
      </c>
      <c r="J175" s="66">
        <f t="shared" si="21"/>
        <v>15398.363999999998</v>
      </c>
      <c r="K175" s="66">
        <f t="shared" si="22"/>
        <v>49524.46799999999</v>
      </c>
      <c r="L175" s="66">
        <f t="shared" si="23"/>
        <v>49108.295999999995</v>
      </c>
      <c r="M175" s="66">
        <f t="shared" si="24"/>
        <v>10820.472</v>
      </c>
      <c r="N175" s="66">
        <f t="shared" si="25"/>
        <v>2497.0319999999997</v>
      </c>
      <c r="O175" s="66">
        <f t="shared" si="26"/>
        <v>7629.82</v>
      </c>
      <c r="P175" s="66">
        <v>1039.68</v>
      </c>
      <c r="Q175" s="63"/>
      <c r="R175" s="63"/>
      <c r="S175" s="66">
        <f>D175*0.55*8+D175*0.59</f>
        <v>17305.819</v>
      </c>
      <c r="T175" s="67">
        <f>SUM(J175:S175)</f>
        <v>153323.95099999997</v>
      </c>
      <c r="U175" s="67">
        <f>D175*1.34*8+D175*1.45*4</f>
        <v>57293.012</v>
      </c>
      <c r="V175" s="67">
        <f>D175*3*8+D175*3.56*4</f>
        <v>132620.144</v>
      </c>
      <c r="W175" s="57"/>
      <c r="X175" s="56">
        <v>30466</v>
      </c>
      <c r="Y175" s="56">
        <v>24480</v>
      </c>
      <c r="Z175" s="56"/>
      <c r="AA175" s="56"/>
      <c r="AB175" s="56">
        <v>27870</v>
      </c>
      <c r="AC175" s="56"/>
      <c r="AD175" s="56"/>
      <c r="AE175" s="56">
        <v>52480</v>
      </c>
      <c r="AF175" s="56">
        <v>1616</v>
      </c>
      <c r="AG175" s="56"/>
      <c r="AH175" s="56">
        <v>19330</v>
      </c>
      <c r="AI175" s="56"/>
      <c r="AJ175" s="56"/>
      <c r="AK175" s="56"/>
      <c r="AL175" s="67">
        <f t="shared" si="20"/>
        <v>156242</v>
      </c>
    </row>
    <row r="176" spans="1:38" ht="15.75">
      <c r="A176" s="63" t="s">
        <v>113</v>
      </c>
      <c r="B176" s="63" t="s">
        <v>116</v>
      </c>
      <c r="C176" s="63" t="s">
        <v>2</v>
      </c>
      <c r="D176" s="83">
        <v>3750.7</v>
      </c>
      <c r="E176" s="63">
        <v>230820.3</v>
      </c>
      <c r="F176" s="63">
        <v>-10330.55</v>
      </c>
      <c r="G176" s="63">
        <v>0</v>
      </c>
      <c r="H176" s="63">
        <v>220489.75</v>
      </c>
      <c r="I176" s="63">
        <v>227568.74</v>
      </c>
      <c r="J176" s="66">
        <f t="shared" si="21"/>
        <v>16653.108</v>
      </c>
      <c r="K176" s="66">
        <f t="shared" si="22"/>
        <v>53559.996</v>
      </c>
      <c r="L176" s="66">
        <f t="shared" si="23"/>
        <v>53109.91199999999</v>
      </c>
      <c r="M176" s="66">
        <f t="shared" si="24"/>
        <v>11702.184000000001</v>
      </c>
      <c r="N176" s="66">
        <f t="shared" si="25"/>
        <v>2700.504</v>
      </c>
      <c r="O176" s="66">
        <f t="shared" si="26"/>
        <v>8251.539999999999</v>
      </c>
      <c r="P176" s="66">
        <v>1035</v>
      </c>
      <c r="Q176" s="63"/>
      <c r="R176" s="63"/>
      <c r="S176" s="66">
        <f>D176*0.55*8+D176*0.59</f>
        <v>18715.993000000002</v>
      </c>
      <c r="T176" s="67">
        <f>SUM(J176:S176)</f>
        <v>165728.23699999996</v>
      </c>
      <c r="U176" s="67">
        <f>D176*1.34*8+D176*1.45*4</f>
        <v>61961.564</v>
      </c>
      <c r="V176" s="67">
        <f>D176*3*8+D176*3.56*4</f>
        <v>143426.76799999998</v>
      </c>
      <c r="W176" s="57">
        <v>9071</v>
      </c>
      <c r="X176" s="56">
        <v>12570</v>
      </c>
      <c r="Y176" s="56">
        <v>68944</v>
      </c>
      <c r="Z176" s="56"/>
      <c r="AA176" s="56">
        <v>319620</v>
      </c>
      <c r="AB176" s="56">
        <v>4848</v>
      </c>
      <c r="AC176" s="56"/>
      <c r="AD176" s="56"/>
      <c r="AE176" s="56"/>
      <c r="AF176" s="56">
        <v>1616</v>
      </c>
      <c r="AG176" s="56"/>
      <c r="AH176" s="56">
        <v>5080</v>
      </c>
      <c r="AI176" s="56"/>
      <c r="AJ176" s="56"/>
      <c r="AK176" s="56"/>
      <c r="AL176" s="67">
        <f t="shared" si="20"/>
        <v>421749</v>
      </c>
    </row>
    <row r="177" spans="1:38" ht="15.75">
      <c r="A177" s="63" t="s">
        <v>113</v>
      </c>
      <c r="B177" s="63" t="s">
        <v>51</v>
      </c>
      <c r="C177" s="63" t="s">
        <v>66</v>
      </c>
      <c r="D177" s="83">
        <v>16013.7</v>
      </c>
      <c r="E177" s="63">
        <v>956325.23</v>
      </c>
      <c r="F177" s="63">
        <v>0</v>
      </c>
      <c r="G177" s="63">
        <v>4626.48</v>
      </c>
      <c r="H177" s="63">
        <v>951698.75</v>
      </c>
      <c r="I177" s="63">
        <v>942705.33</v>
      </c>
      <c r="J177" s="66">
        <f t="shared" si="21"/>
        <v>71100.82800000001</v>
      </c>
      <c r="K177" s="66">
        <f t="shared" si="22"/>
        <v>228675.636</v>
      </c>
      <c r="L177" s="66">
        <f t="shared" si="23"/>
        <v>226753.99200000003</v>
      </c>
      <c r="M177" s="66">
        <f t="shared" si="24"/>
        <v>49962.744</v>
      </c>
      <c r="N177" s="66">
        <f t="shared" si="25"/>
        <v>11529.864</v>
      </c>
      <c r="O177" s="66">
        <f t="shared" si="26"/>
        <v>35230.14</v>
      </c>
      <c r="P177" s="66">
        <v>4664.12</v>
      </c>
      <c r="Q177" s="63"/>
      <c r="R177" s="63"/>
      <c r="S177" s="66">
        <f>D177*0.55*8+D177*0.59</f>
        <v>79908.36300000001</v>
      </c>
      <c r="T177" s="67">
        <f>SUM(J177:S177)</f>
        <v>707825.6869999999</v>
      </c>
      <c r="U177" s="67">
        <f>D177*1.34*8+D177*1.45*4</f>
        <v>264546.324</v>
      </c>
      <c r="V177" s="67">
        <f>D177*3*8+D177*3.56*4</f>
        <v>612363.888</v>
      </c>
      <c r="W177" s="57">
        <v>44682</v>
      </c>
      <c r="X177" s="56"/>
      <c r="Y177" s="56">
        <v>23649</v>
      </c>
      <c r="Z177" s="56">
        <v>21637</v>
      </c>
      <c r="AA177" s="56"/>
      <c r="AB177" s="56">
        <v>8791</v>
      </c>
      <c r="AC177" s="56"/>
      <c r="AD177" s="56"/>
      <c r="AE177" s="56">
        <v>696</v>
      </c>
      <c r="AF177" s="56">
        <v>14873</v>
      </c>
      <c r="AG177" s="56">
        <v>63713</v>
      </c>
      <c r="AH177" s="56">
        <v>35043</v>
      </c>
      <c r="AI177" s="56"/>
      <c r="AJ177" s="56"/>
      <c r="AK177" s="56">
        <v>1294</v>
      </c>
      <c r="AL177" s="67">
        <f t="shared" si="20"/>
        <v>214378</v>
      </c>
    </row>
    <row r="178" spans="1:38" ht="15.75">
      <c r="A178" s="63" t="s">
        <v>117</v>
      </c>
      <c r="B178" s="63" t="s">
        <v>44</v>
      </c>
      <c r="C178" s="63" t="s">
        <v>2</v>
      </c>
      <c r="D178" s="83">
        <v>5800.5</v>
      </c>
      <c r="E178" s="63">
        <v>343605.65</v>
      </c>
      <c r="F178" s="63">
        <v>0</v>
      </c>
      <c r="G178" s="63">
        <v>6727.36</v>
      </c>
      <c r="H178" s="63">
        <v>336878.29</v>
      </c>
      <c r="I178" s="63">
        <v>325363.13</v>
      </c>
      <c r="J178" s="66">
        <f t="shared" si="21"/>
        <v>25754.22</v>
      </c>
      <c r="K178" s="66">
        <f t="shared" si="22"/>
        <v>82831.13999999998</v>
      </c>
      <c r="L178" s="66">
        <f t="shared" si="23"/>
        <v>82135.07999999999</v>
      </c>
      <c r="M178" s="66">
        <f t="shared" si="24"/>
        <v>18097.56</v>
      </c>
      <c r="N178" s="66">
        <f t="shared" si="25"/>
        <v>4176.36</v>
      </c>
      <c r="O178" s="66">
        <f t="shared" si="26"/>
        <v>12761.099999999999</v>
      </c>
      <c r="P178" s="66">
        <v>1719.36</v>
      </c>
      <c r="Q178" s="63"/>
      <c r="R178" s="63"/>
      <c r="S178" s="66">
        <f>D178*0.55*8+D178*0.59</f>
        <v>28944.495</v>
      </c>
      <c r="T178" s="67">
        <f>SUM(J178:S178)</f>
        <v>256419.31499999994</v>
      </c>
      <c r="U178" s="67">
        <f>D178*1.34*8+D178*1.45*4</f>
        <v>95824.26000000001</v>
      </c>
      <c r="V178" s="67">
        <f>D178*3*8+D178*3.56*4</f>
        <v>221811.12</v>
      </c>
      <c r="W178" s="57">
        <v>89166</v>
      </c>
      <c r="X178" s="56"/>
      <c r="Y178" s="56">
        <v>28349</v>
      </c>
      <c r="Z178" s="56">
        <v>348</v>
      </c>
      <c r="AA178" s="56"/>
      <c r="AB178" s="56"/>
      <c r="AC178" s="56">
        <v>3081</v>
      </c>
      <c r="AD178" s="56"/>
      <c r="AE178" s="56"/>
      <c r="AF178" s="56">
        <v>3232</v>
      </c>
      <c r="AG178" s="56"/>
      <c r="AH178" s="56">
        <v>16839</v>
      </c>
      <c r="AI178" s="56">
        <v>972</v>
      </c>
      <c r="AJ178" s="56">
        <v>18141</v>
      </c>
      <c r="AK178" s="56"/>
      <c r="AL178" s="67">
        <f t="shared" si="20"/>
        <v>160128</v>
      </c>
    </row>
    <row r="179" spans="1:38" ht="15.75">
      <c r="A179" s="68" t="s">
        <v>118</v>
      </c>
      <c r="B179" s="68" t="s">
        <v>119</v>
      </c>
      <c r="C179" s="68" t="s">
        <v>2</v>
      </c>
      <c r="D179" s="85">
        <v>94.8</v>
      </c>
      <c r="E179" s="63">
        <v>4316.96</v>
      </c>
      <c r="F179" s="63">
        <v>0</v>
      </c>
      <c r="G179" s="63">
        <v>0</v>
      </c>
      <c r="H179" s="63">
        <v>4316.96</v>
      </c>
      <c r="I179" s="63">
        <v>2570.88</v>
      </c>
      <c r="J179" s="66">
        <f t="shared" si="21"/>
        <v>420.91200000000003</v>
      </c>
      <c r="K179" s="66">
        <f t="shared" si="22"/>
        <v>1353.744</v>
      </c>
      <c r="L179" s="66">
        <f t="shared" si="23"/>
        <v>1342.368</v>
      </c>
      <c r="M179" s="66">
        <f t="shared" si="24"/>
        <v>295.776</v>
      </c>
      <c r="N179" s="66">
        <f t="shared" si="25"/>
        <v>68.256</v>
      </c>
      <c r="O179" s="66">
        <f t="shared" si="26"/>
        <v>208.56</v>
      </c>
      <c r="P179" s="66"/>
      <c r="Q179" s="63"/>
      <c r="R179" s="63"/>
      <c r="S179" s="66">
        <f>D179*0.55*8+D179*0.59</f>
        <v>473.052</v>
      </c>
      <c r="T179" s="67">
        <f>SUM(J179:S179)</f>
        <v>4162.668</v>
      </c>
      <c r="U179" s="67"/>
      <c r="V179" s="67">
        <f>D179*3*8+D179*3.56*4</f>
        <v>3625.152</v>
      </c>
      <c r="W179" s="57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67">
        <f t="shared" si="20"/>
        <v>0</v>
      </c>
    </row>
    <row r="180" spans="1:38" ht="15.75">
      <c r="A180" s="63" t="s">
        <v>120</v>
      </c>
      <c r="B180" s="63" t="s">
        <v>1</v>
      </c>
      <c r="C180" s="63" t="s">
        <v>2</v>
      </c>
      <c r="D180" s="83">
        <v>1557</v>
      </c>
      <c r="E180" s="63">
        <v>93456.24</v>
      </c>
      <c r="F180" s="63">
        <v>0</v>
      </c>
      <c r="G180" s="63">
        <v>0</v>
      </c>
      <c r="H180" s="63">
        <v>93456.24</v>
      </c>
      <c r="I180" s="63">
        <v>89351.64</v>
      </c>
      <c r="J180" s="66">
        <f t="shared" si="21"/>
        <v>6913.08</v>
      </c>
      <c r="K180" s="66">
        <f t="shared" si="22"/>
        <v>22233.96</v>
      </c>
      <c r="L180" s="66">
        <f t="shared" si="23"/>
        <v>22047.12</v>
      </c>
      <c r="M180" s="66">
        <f t="shared" si="24"/>
        <v>4857.84</v>
      </c>
      <c r="N180" s="66">
        <f t="shared" si="25"/>
        <v>1121.04</v>
      </c>
      <c r="O180" s="66">
        <f t="shared" si="26"/>
        <v>3425.3999999999996</v>
      </c>
      <c r="P180" s="66">
        <v>1848.96</v>
      </c>
      <c r="Q180" s="63"/>
      <c r="R180" s="63"/>
      <c r="S180" s="66">
        <f>D180*0.55*8+D180*0.59</f>
        <v>7769.43</v>
      </c>
      <c r="T180" s="67">
        <f>SUM(J180:S180)</f>
        <v>70216.83</v>
      </c>
      <c r="U180" s="67">
        <f>D180*1.34*8+D180*1.45*4</f>
        <v>25721.64</v>
      </c>
      <c r="V180" s="67">
        <f>D180*3*8+D180*3.56*4</f>
        <v>59539.68</v>
      </c>
      <c r="W180" s="57"/>
      <c r="X180" s="56"/>
      <c r="Y180" s="56"/>
      <c r="Z180" s="56"/>
      <c r="AA180" s="56"/>
      <c r="AB180" s="56"/>
      <c r="AC180" s="56"/>
      <c r="AD180" s="56"/>
      <c r="AE180" s="56"/>
      <c r="AF180" s="56">
        <v>62389</v>
      </c>
      <c r="AG180" s="56"/>
      <c r="AH180" s="56">
        <v>1016</v>
      </c>
      <c r="AI180" s="56">
        <v>600</v>
      </c>
      <c r="AJ180" s="56"/>
      <c r="AK180" s="56"/>
      <c r="AL180" s="67">
        <f t="shared" si="20"/>
        <v>64005</v>
      </c>
    </row>
    <row r="181" spans="1:38" ht="15.75">
      <c r="A181" s="63" t="s">
        <v>120</v>
      </c>
      <c r="B181" s="63" t="s">
        <v>71</v>
      </c>
      <c r="C181" s="63" t="s">
        <v>2</v>
      </c>
      <c r="D181" s="83">
        <v>2611.4</v>
      </c>
      <c r="E181" s="63">
        <v>154213.06</v>
      </c>
      <c r="F181" s="63">
        <v>0</v>
      </c>
      <c r="G181" s="63">
        <v>0</v>
      </c>
      <c r="H181" s="63">
        <v>154213.06</v>
      </c>
      <c r="I181" s="63">
        <v>154161.82</v>
      </c>
      <c r="J181" s="66">
        <f aca="true" t="shared" si="27" ref="J181:J186">D181*8*0.36+D181*0.39*4</f>
        <v>11594.616</v>
      </c>
      <c r="K181" s="66">
        <f aca="true" t="shared" si="28" ref="K181:K186">D181*1.19*12</f>
        <v>37290.792</v>
      </c>
      <c r="L181" s="66">
        <f aca="true" t="shared" si="29" ref="L181:L186">D181*1.18*12</f>
        <v>36977.424</v>
      </c>
      <c r="M181" s="66">
        <f aca="true" t="shared" si="30" ref="M181:M186">D181*0.26*12</f>
        <v>8147.568000000001</v>
      </c>
      <c r="N181" s="66">
        <f aca="true" t="shared" si="31" ref="N181:N186">D181*0.06*12</f>
        <v>1880.208</v>
      </c>
      <c r="O181" s="66">
        <f aca="true" t="shared" si="32" ref="O181:O186">D181*0.18*8+D181*0.19*4</f>
        <v>5745.08</v>
      </c>
      <c r="P181" s="66">
        <v>924.16</v>
      </c>
      <c r="Q181" s="63"/>
      <c r="R181" s="63"/>
      <c r="S181" s="66">
        <f>D181*0.55*8+D181*0.59</f>
        <v>13030.886000000002</v>
      </c>
      <c r="T181" s="67">
        <f>SUM(J181:S181)</f>
        <v>115590.734</v>
      </c>
      <c r="U181" s="67">
        <f>D181*1.34*8+D181*1.45*4</f>
        <v>43140.328</v>
      </c>
      <c r="V181" s="67">
        <f>D181*3*8+D181*3.56*4</f>
        <v>99859.93600000002</v>
      </c>
      <c r="W181" s="57"/>
      <c r="X181" s="56"/>
      <c r="Y181" s="56"/>
      <c r="Z181" s="56"/>
      <c r="AA181" s="56"/>
      <c r="AB181" s="56">
        <v>2082</v>
      </c>
      <c r="AC181" s="56"/>
      <c r="AD181" s="56"/>
      <c r="AE181" s="56">
        <v>7156</v>
      </c>
      <c r="AF181" s="56"/>
      <c r="AG181" s="56"/>
      <c r="AH181" s="56">
        <v>183</v>
      </c>
      <c r="AI181" s="56"/>
      <c r="AJ181" s="56">
        <v>19589</v>
      </c>
      <c r="AK181" s="56"/>
      <c r="AL181" s="67">
        <f t="shared" si="20"/>
        <v>29010</v>
      </c>
    </row>
    <row r="182" spans="1:38" ht="15.75">
      <c r="A182" s="63" t="s">
        <v>120</v>
      </c>
      <c r="B182" s="63" t="s">
        <v>72</v>
      </c>
      <c r="C182" s="63" t="s">
        <v>2</v>
      </c>
      <c r="D182" s="83">
        <v>1164.7</v>
      </c>
      <c r="E182" s="63">
        <v>66624.14</v>
      </c>
      <c r="F182" s="63">
        <v>0</v>
      </c>
      <c r="G182" s="63">
        <v>0</v>
      </c>
      <c r="H182" s="63">
        <v>66624.14</v>
      </c>
      <c r="I182" s="63">
        <v>45692.95</v>
      </c>
      <c r="J182" s="66">
        <f t="shared" si="27"/>
        <v>5171.268</v>
      </c>
      <c r="K182" s="66">
        <f t="shared" si="28"/>
        <v>16631.915999999997</v>
      </c>
      <c r="L182" s="66">
        <f t="shared" si="29"/>
        <v>16492.152000000002</v>
      </c>
      <c r="M182" s="66">
        <f t="shared" si="30"/>
        <v>3633.864</v>
      </c>
      <c r="N182" s="66">
        <f t="shared" si="31"/>
        <v>838.5840000000001</v>
      </c>
      <c r="O182" s="66">
        <f t="shared" si="32"/>
        <v>2562.34</v>
      </c>
      <c r="P182" s="66">
        <v>443.04</v>
      </c>
      <c r="Q182" s="63"/>
      <c r="R182" s="63">
        <v>14675</v>
      </c>
      <c r="S182" s="66">
        <f>D182*0.55*8+D182*0.59</f>
        <v>5811.853</v>
      </c>
      <c r="T182" s="67">
        <f>SUM(J182:S182)</f>
        <v>66260.01699999999</v>
      </c>
      <c r="U182" s="67"/>
      <c r="V182" s="67">
        <f>D182*3*8+D182*3.56*4</f>
        <v>44538.128000000004</v>
      </c>
      <c r="W182" s="57"/>
      <c r="X182" s="56"/>
      <c r="Y182" s="56"/>
      <c r="Z182" s="56">
        <v>935</v>
      </c>
      <c r="AA182" s="56">
        <v>73114</v>
      </c>
      <c r="AB182" s="56"/>
      <c r="AC182" s="56">
        <v>6268</v>
      </c>
      <c r="AD182" s="56"/>
      <c r="AE182" s="56"/>
      <c r="AF182" s="56"/>
      <c r="AG182" s="56"/>
      <c r="AH182" s="56">
        <v>2098</v>
      </c>
      <c r="AI182" s="56"/>
      <c r="AJ182" s="56">
        <v>2597</v>
      </c>
      <c r="AK182" s="56"/>
      <c r="AL182" s="67">
        <f t="shared" si="20"/>
        <v>85012</v>
      </c>
    </row>
    <row r="183" spans="1:38" ht="15.75">
      <c r="A183" s="63" t="s">
        <v>120</v>
      </c>
      <c r="B183" s="63" t="s">
        <v>128</v>
      </c>
      <c r="C183" s="63" t="s">
        <v>2</v>
      </c>
      <c r="D183" s="83">
        <v>946.7</v>
      </c>
      <c r="E183" s="63">
        <v>57132.84</v>
      </c>
      <c r="F183" s="63">
        <v>0</v>
      </c>
      <c r="G183" s="63">
        <v>0</v>
      </c>
      <c r="H183" s="63">
        <v>57132.84</v>
      </c>
      <c r="I183" s="63">
        <v>54930.67</v>
      </c>
      <c r="J183" s="66">
        <f t="shared" si="27"/>
        <v>4203.348</v>
      </c>
      <c r="K183" s="66">
        <f t="shared" si="28"/>
        <v>13518.876</v>
      </c>
      <c r="L183" s="66">
        <f t="shared" si="29"/>
        <v>13405.272</v>
      </c>
      <c r="M183" s="66">
        <f t="shared" si="30"/>
        <v>2953.704</v>
      </c>
      <c r="N183" s="66">
        <f t="shared" si="31"/>
        <v>681.624</v>
      </c>
      <c r="O183" s="66">
        <f t="shared" si="32"/>
        <v>2082.7400000000002</v>
      </c>
      <c r="P183" s="66">
        <v>1232.64</v>
      </c>
      <c r="Q183" s="63"/>
      <c r="R183" s="63"/>
      <c r="S183" s="66">
        <f>D183*0.55*8+D183*0.59</f>
        <v>4724.033</v>
      </c>
      <c r="T183" s="67">
        <f>SUM(J183:S183)</f>
        <v>42802.23700000001</v>
      </c>
      <c r="U183" s="67"/>
      <c r="V183" s="67">
        <f>D183*3*8+D183*3.56*4</f>
        <v>36201.808000000005</v>
      </c>
      <c r="W183" s="57"/>
      <c r="X183" s="56"/>
      <c r="Y183" s="56"/>
      <c r="Z183" s="56"/>
      <c r="AA183" s="56">
        <v>128852</v>
      </c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67">
        <f t="shared" si="20"/>
        <v>128852</v>
      </c>
    </row>
    <row r="184" spans="1:38" ht="15.75">
      <c r="A184" s="63" t="s">
        <v>120</v>
      </c>
      <c r="B184" s="63" t="s">
        <v>3</v>
      </c>
      <c r="C184" s="63" t="s">
        <v>2</v>
      </c>
      <c r="D184" s="83">
        <v>1502.6</v>
      </c>
      <c r="E184" s="63">
        <v>96439</v>
      </c>
      <c r="F184" s="63">
        <v>0</v>
      </c>
      <c r="G184" s="63">
        <v>0</v>
      </c>
      <c r="H184" s="63">
        <v>96439</v>
      </c>
      <c r="I184" s="63">
        <v>86592.84</v>
      </c>
      <c r="J184" s="66">
        <f t="shared" si="27"/>
        <v>6671.544</v>
      </c>
      <c r="K184" s="66">
        <f t="shared" si="28"/>
        <v>21457.127999999997</v>
      </c>
      <c r="L184" s="66">
        <f t="shared" si="29"/>
        <v>21276.816</v>
      </c>
      <c r="M184" s="66">
        <f t="shared" si="30"/>
        <v>4688.112</v>
      </c>
      <c r="N184" s="66">
        <f t="shared" si="31"/>
        <v>1081.8719999999998</v>
      </c>
      <c r="O184" s="66">
        <f t="shared" si="32"/>
        <v>3305.7199999999993</v>
      </c>
      <c r="P184" s="66">
        <v>1232.64</v>
      </c>
      <c r="Q184" s="63"/>
      <c r="R184" s="63"/>
      <c r="S184" s="66">
        <f>D184*0.55*8+D184*0.59</f>
        <v>7497.974</v>
      </c>
      <c r="T184" s="67">
        <f>SUM(J184:S184)</f>
        <v>67211.806</v>
      </c>
      <c r="U184" s="67"/>
      <c r="V184" s="67">
        <f>D184*3*8+D184*3.56*4</f>
        <v>57459.42399999999</v>
      </c>
      <c r="W184" s="57">
        <v>1347</v>
      </c>
      <c r="X184" s="56">
        <v>29706</v>
      </c>
      <c r="Y184" s="56"/>
      <c r="Z184" s="56">
        <v>62173</v>
      </c>
      <c r="AA184" s="56">
        <v>158016</v>
      </c>
      <c r="AB184" s="56"/>
      <c r="AC184" s="56"/>
      <c r="AD184" s="56"/>
      <c r="AE184" s="56"/>
      <c r="AF184" s="56"/>
      <c r="AG184" s="56"/>
      <c r="AH184" s="56">
        <v>865</v>
      </c>
      <c r="AI184" s="56">
        <v>65680</v>
      </c>
      <c r="AJ184" s="56">
        <v>3215</v>
      </c>
      <c r="AK184" s="56"/>
      <c r="AL184" s="67">
        <f t="shared" si="20"/>
        <v>321002</v>
      </c>
    </row>
    <row r="185" spans="1:38" ht="15.75">
      <c r="A185" s="68" t="s">
        <v>120</v>
      </c>
      <c r="B185" s="68" t="s">
        <v>65</v>
      </c>
      <c r="C185" s="63" t="s">
        <v>2</v>
      </c>
      <c r="D185" s="86">
        <v>1563.8</v>
      </c>
      <c r="E185" s="63">
        <v>116951.8</v>
      </c>
      <c r="F185" s="63">
        <v>0</v>
      </c>
      <c r="G185" s="63">
        <v>2639</v>
      </c>
      <c r="H185" s="63">
        <v>114312.8</v>
      </c>
      <c r="I185" s="63">
        <v>105762.4</v>
      </c>
      <c r="J185" s="66">
        <f t="shared" si="27"/>
        <v>6943.271999999999</v>
      </c>
      <c r="K185" s="66">
        <f t="shared" si="28"/>
        <v>22331.064</v>
      </c>
      <c r="L185" s="66">
        <f t="shared" si="29"/>
        <v>22143.408</v>
      </c>
      <c r="M185" s="66">
        <f t="shared" si="30"/>
        <v>4879.0560000000005</v>
      </c>
      <c r="N185" s="66">
        <f t="shared" si="31"/>
        <v>1125.936</v>
      </c>
      <c r="O185" s="66">
        <f t="shared" si="32"/>
        <v>3440.3599999999997</v>
      </c>
      <c r="P185" s="66">
        <v>462.24</v>
      </c>
      <c r="Q185" s="63"/>
      <c r="R185" s="63"/>
      <c r="S185" s="66">
        <f>D185*0.55*8+D185*0.59</f>
        <v>7803.362</v>
      </c>
      <c r="T185" s="67">
        <f>SUM(J185:S185)</f>
        <v>69128.69799999999</v>
      </c>
      <c r="U185" s="67"/>
      <c r="V185" s="67">
        <f>D185*3*8+D185*3.56*4</f>
        <v>59799.712</v>
      </c>
      <c r="W185" s="57"/>
      <c r="X185" s="56">
        <v>5612</v>
      </c>
      <c r="Y185" s="56"/>
      <c r="Z185" s="56">
        <v>5292</v>
      </c>
      <c r="AA185" s="56"/>
      <c r="AB185" s="56">
        <v>28298</v>
      </c>
      <c r="AC185" s="56"/>
      <c r="AD185" s="56"/>
      <c r="AE185" s="56">
        <v>52480</v>
      </c>
      <c r="AF185" s="56"/>
      <c r="AG185" s="56"/>
      <c r="AH185" s="56"/>
      <c r="AI185" s="56">
        <v>480</v>
      </c>
      <c r="AJ185" s="56"/>
      <c r="AK185" s="56"/>
      <c r="AL185" s="67">
        <f t="shared" si="20"/>
        <v>92162</v>
      </c>
    </row>
    <row r="186" spans="1:38" ht="15.75">
      <c r="A186" s="63" t="s">
        <v>120</v>
      </c>
      <c r="B186" s="63" t="s">
        <v>129</v>
      </c>
      <c r="C186" s="63" t="s">
        <v>2</v>
      </c>
      <c r="D186" s="83">
        <v>1409.2</v>
      </c>
      <c r="E186" s="63">
        <v>72348.57</v>
      </c>
      <c r="F186" s="63">
        <v>0</v>
      </c>
      <c r="G186" s="63">
        <v>0</v>
      </c>
      <c r="H186" s="63">
        <v>72348.57</v>
      </c>
      <c r="I186" s="63">
        <v>69436.11</v>
      </c>
      <c r="J186" s="66">
        <f t="shared" si="27"/>
        <v>6256.848</v>
      </c>
      <c r="K186" s="66">
        <f t="shared" si="28"/>
        <v>20123.375999999997</v>
      </c>
      <c r="L186" s="66">
        <f t="shared" si="29"/>
        <v>19954.272</v>
      </c>
      <c r="M186" s="66">
        <f t="shared" si="30"/>
        <v>4396.704000000001</v>
      </c>
      <c r="N186" s="66">
        <f t="shared" si="31"/>
        <v>1014.6239999999999</v>
      </c>
      <c r="O186" s="66">
        <f t="shared" si="32"/>
        <v>3100.24</v>
      </c>
      <c r="P186" s="66">
        <v>1232.64</v>
      </c>
      <c r="Q186" s="63">
        <v>5694.32</v>
      </c>
      <c r="R186" s="63">
        <v>22400</v>
      </c>
      <c r="S186" s="66">
        <f>D186*0.55*8+D186*0.59</f>
        <v>7031.908</v>
      </c>
      <c r="T186" s="67">
        <f>SUM(J186:S186)</f>
        <v>91204.932</v>
      </c>
      <c r="U186" s="67"/>
      <c r="V186" s="67">
        <f>D186*3*8+D186*3.56*4</f>
        <v>53887.808000000005</v>
      </c>
      <c r="W186" s="57"/>
      <c r="X186" s="56"/>
      <c r="Y186" s="56"/>
      <c r="Z186" s="56"/>
      <c r="AA186" s="56">
        <v>5068</v>
      </c>
      <c r="AB186" s="56"/>
      <c r="AC186" s="56"/>
      <c r="AD186" s="56"/>
      <c r="AE186" s="56">
        <v>13518</v>
      </c>
      <c r="AF186" s="56"/>
      <c r="AG186" s="56"/>
      <c r="AH186" s="56">
        <v>1730</v>
      </c>
      <c r="AI186" s="56"/>
      <c r="AJ186" s="56"/>
      <c r="AK186" s="56"/>
      <c r="AL186" s="67">
        <f t="shared" si="20"/>
        <v>20316</v>
      </c>
    </row>
    <row r="187" spans="1:38" ht="15.75">
      <c r="A187" s="63" t="s">
        <v>120</v>
      </c>
      <c r="B187" s="63" t="s">
        <v>121</v>
      </c>
      <c r="C187" s="63" t="s">
        <v>2</v>
      </c>
      <c r="D187" s="83">
        <v>1641.3</v>
      </c>
      <c r="E187" s="63">
        <v>99830.2</v>
      </c>
      <c r="F187" s="63">
        <v>-50</v>
      </c>
      <c r="G187" s="63">
        <v>2639</v>
      </c>
      <c r="H187" s="63">
        <v>97141.2</v>
      </c>
      <c r="I187" s="63">
        <v>98478.16</v>
      </c>
      <c r="J187" s="66">
        <f t="shared" si="21"/>
        <v>7287.371999999999</v>
      </c>
      <c r="K187" s="66">
        <f t="shared" si="22"/>
        <v>23437.764</v>
      </c>
      <c r="L187" s="66">
        <f t="shared" si="23"/>
        <v>23240.807999999997</v>
      </c>
      <c r="M187" s="66">
        <f t="shared" si="24"/>
        <v>5120.856</v>
      </c>
      <c r="N187" s="66">
        <f t="shared" si="25"/>
        <v>1181.7359999999999</v>
      </c>
      <c r="O187" s="66">
        <f t="shared" si="26"/>
        <v>3610.8599999999997</v>
      </c>
      <c r="P187" s="66">
        <v>274.36</v>
      </c>
      <c r="Q187" s="63">
        <v>3182.12</v>
      </c>
      <c r="R187" s="63">
        <v>14400</v>
      </c>
      <c r="S187" s="66">
        <f>D187*0.55*8+D187*0.59</f>
        <v>8190.087</v>
      </c>
      <c r="T187" s="67">
        <f>SUM(J187:S187)</f>
        <v>89925.96299999999</v>
      </c>
      <c r="U187" s="67">
        <f>D187*1.34*8+D187*1.45*4</f>
        <v>27114.275999999998</v>
      </c>
      <c r="V187" s="67">
        <f>D187*3*8+D187*3.56*4</f>
        <v>62763.312</v>
      </c>
      <c r="W187" s="57">
        <v>2229</v>
      </c>
      <c r="X187" s="56"/>
      <c r="Y187" s="56"/>
      <c r="Z187" s="56">
        <v>3488</v>
      </c>
      <c r="AA187" s="56"/>
      <c r="AB187" s="56"/>
      <c r="AC187" s="56"/>
      <c r="AD187" s="56"/>
      <c r="AE187" s="56">
        <v>8747</v>
      </c>
      <c r="AF187" s="56"/>
      <c r="AG187" s="56"/>
      <c r="AH187" s="56"/>
      <c r="AI187" s="56"/>
      <c r="AJ187" s="56"/>
      <c r="AK187" s="56"/>
      <c r="AL187" s="67">
        <f t="shared" si="20"/>
        <v>14464</v>
      </c>
    </row>
    <row r="188" spans="1:38" ht="15.75">
      <c r="A188" s="63" t="s">
        <v>120</v>
      </c>
      <c r="B188" s="63" t="s">
        <v>122</v>
      </c>
      <c r="C188" s="63" t="s">
        <v>2</v>
      </c>
      <c r="D188" s="83">
        <v>1295.9</v>
      </c>
      <c r="E188" s="63">
        <v>71950.85</v>
      </c>
      <c r="F188" s="63">
        <v>-7474.58</v>
      </c>
      <c r="G188" s="63">
        <v>0</v>
      </c>
      <c r="H188" s="63">
        <v>64476.27</v>
      </c>
      <c r="I188" s="63">
        <v>69253.02</v>
      </c>
      <c r="J188" s="66">
        <f t="shared" si="21"/>
        <v>5753.796</v>
      </c>
      <c r="K188" s="66">
        <f t="shared" si="22"/>
        <v>18505.452</v>
      </c>
      <c r="L188" s="66">
        <f t="shared" si="23"/>
        <v>18349.944</v>
      </c>
      <c r="M188" s="66">
        <f t="shared" si="24"/>
        <v>4043.2080000000005</v>
      </c>
      <c r="N188" s="66">
        <f t="shared" si="25"/>
        <v>933.048</v>
      </c>
      <c r="O188" s="66">
        <f t="shared" si="26"/>
        <v>2850.98</v>
      </c>
      <c r="P188" s="66">
        <v>1643.52</v>
      </c>
      <c r="Q188" s="63"/>
      <c r="R188" s="63">
        <v>14300</v>
      </c>
      <c r="S188" s="66">
        <f>D188*0.55*8+D188*0.59</f>
        <v>6466.541000000001</v>
      </c>
      <c r="T188" s="67">
        <f>SUM(J188:S188)</f>
        <v>72846.489</v>
      </c>
      <c r="U188" s="67">
        <f>D188*1.34*8+D188*1.45*4</f>
        <v>21408.268000000004</v>
      </c>
      <c r="V188" s="67">
        <f>D188*3*8+D188*3.56*4</f>
        <v>49555.216</v>
      </c>
      <c r="W188" s="57"/>
      <c r="X188" s="56"/>
      <c r="Y188" s="56"/>
      <c r="Z188" s="56">
        <v>4005</v>
      </c>
      <c r="AA188" s="56"/>
      <c r="AB188" s="56"/>
      <c r="AC188" s="56"/>
      <c r="AD188" s="56"/>
      <c r="AE188" s="56"/>
      <c r="AF188" s="56">
        <v>1616</v>
      </c>
      <c r="AG188" s="56"/>
      <c r="AH188" s="56"/>
      <c r="AI188" s="56"/>
      <c r="AJ188" s="56"/>
      <c r="AK188" s="56"/>
      <c r="AL188" s="67">
        <f t="shared" si="20"/>
        <v>5621</v>
      </c>
    </row>
    <row r="189" spans="1:38" ht="15.75">
      <c r="A189" s="63" t="s">
        <v>120</v>
      </c>
      <c r="B189" s="63" t="s">
        <v>123</v>
      </c>
      <c r="C189" s="63" t="s">
        <v>2</v>
      </c>
      <c r="D189" s="83">
        <v>968.2</v>
      </c>
      <c r="E189" s="63">
        <v>62060.36</v>
      </c>
      <c r="F189" s="63">
        <v>0</v>
      </c>
      <c r="G189" s="63">
        <v>0</v>
      </c>
      <c r="H189" s="63">
        <v>62060.36</v>
      </c>
      <c r="I189" s="63">
        <v>58348.31</v>
      </c>
      <c r="J189" s="66">
        <f t="shared" si="21"/>
        <v>4298.808</v>
      </c>
      <c r="K189" s="66">
        <f t="shared" si="22"/>
        <v>13825.895999999999</v>
      </c>
      <c r="L189" s="66">
        <f t="shared" si="23"/>
        <v>13709.712</v>
      </c>
      <c r="M189" s="66">
        <f t="shared" si="24"/>
        <v>3020.7840000000006</v>
      </c>
      <c r="N189" s="66">
        <f t="shared" si="25"/>
        <v>697.104</v>
      </c>
      <c r="O189" s="66">
        <f t="shared" si="26"/>
        <v>2130.04</v>
      </c>
      <c r="P189" s="66">
        <v>1232.64</v>
      </c>
      <c r="Q189" s="63"/>
      <c r="R189" s="63"/>
      <c r="S189" s="66">
        <f>D189*0.55*8+D189*0.59</f>
        <v>4831.318000000001</v>
      </c>
      <c r="T189" s="67">
        <f>SUM(J189:S189)</f>
        <v>43746.301999999996</v>
      </c>
      <c r="U189" s="67"/>
      <c r="V189" s="67">
        <f>D189*3*8+D189*3.56*4</f>
        <v>37023.96800000001</v>
      </c>
      <c r="W189" s="57"/>
      <c r="X189" s="56"/>
      <c r="Y189" s="56"/>
      <c r="Z189" s="56"/>
      <c r="AA189" s="56">
        <v>93302</v>
      </c>
      <c r="AB189" s="56"/>
      <c r="AC189" s="56"/>
      <c r="AD189" s="56"/>
      <c r="AE189" s="56"/>
      <c r="AF189" s="56">
        <v>1944</v>
      </c>
      <c r="AG189" s="56"/>
      <c r="AH189" s="56">
        <v>32699</v>
      </c>
      <c r="AI189" s="56">
        <v>1777</v>
      </c>
      <c r="AJ189" s="56"/>
      <c r="AK189" s="56"/>
      <c r="AL189" s="67">
        <f t="shared" si="20"/>
        <v>129722</v>
      </c>
    </row>
    <row r="190" spans="1:38" ht="15.75">
      <c r="A190" s="63" t="s">
        <v>120</v>
      </c>
      <c r="B190" s="63" t="s">
        <v>34</v>
      </c>
      <c r="C190" s="63" t="s">
        <v>2</v>
      </c>
      <c r="D190" s="83">
        <v>5302.8</v>
      </c>
      <c r="E190" s="63">
        <v>305755.04</v>
      </c>
      <c r="F190" s="63">
        <v>0</v>
      </c>
      <c r="G190" s="63">
        <v>1016</v>
      </c>
      <c r="H190" s="63">
        <v>304739.04</v>
      </c>
      <c r="I190" s="63">
        <v>299220.9</v>
      </c>
      <c r="J190" s="66">
        <f t="shared" si="21"/>
        <v>23544.432</v>
      </c>
      <c r="K190" s="66">
        <f t="shared" si="22"/>
        <v>75723.984</v>
      </c>
      <c r="L190" s="66">
        <f t="shared" si="23"/>
        <v>75087.648</v>
      </c>
      <c r="M190" s="66">
        <f t="shared" si="24"/>
        <v>16544.736</v>
      </c>
      <c r="N190" s="66">
        <f t="shared" si="25"/>
        <v>3818.016</v>
      </c>
      <c r="O190" s="66">
        <f t="shared" si="26"/>
        <v>11666.16</v>
      </c>
      <c r="P190" s="66">
        <v>2840.4</v>
      </c>
      <c r="Q190" s="63">
        <v>20097.6</v>
      </c>
      <c r="R190" s="63"/>
      <c r="S190" s="66">
        <f>D190*0.55*8+D190*0.59</f>
        <v>26460.972</v>
      </c>
      <c r="T190" s="67">
        <f>SUM(J190:S190)</f>
        <v>255783.94800000003</v>
      </c>
      <c r="U190" s="67">
        <f>D190*1.34*8+D190*1.45*4</f>
        <v>87602.25600000001</v>
      </c>
      <c r="V190" s="67">
        <f>D190*3*8+D190*3.56*4</f>
        <v>202779.07200000001</v>
      </c>
      <c r="W190" s="57">
        <v>26605</v>
      </c>
      <c r="X190" s="56"/>
      <c r="Y190" s="56"/>
      <c r="Z190" s="56">
        <v>15547</v>
      </c>
      <c r="AA190" s="56">
        <v>4384</v>
      </c>
      <c r="AB190" s="56"/>
      <c r="AC190" s="56">
        <v>3451</v>
      </c>
      <c r="AD190" s="56"/>
      <c r="AE190" s="56">
        <v>43733</v>
      </c>
      <c r="AF190" s="56">
        <v>6238</v>
      </c>
      <c r="AG190" s="56">
        <v>16237</v>
      </c>
      <c r="AH190" s="56">
        <v>3497</v>
      </c>
      <c r="AI190" s="56"/>
      <c r="AJ190" s="56">
        <v>9913</v>
      </c>
      <c r="AK190" s="56"/>
      <c r="AL190" s="67">
        <f t="shared" si="20"/>
        <v>129605</v>
      </c>
    </row>
    <row r="191" spans="1:38" ht="15.75">
      <c r="A191" s="63" t="s">
        <v>120</v>
      </c>
      <c r="B191" s="63" t="s">
        <v>32</v>
      </c>
      <c r="C191" s="63" t="s">
        <v>2</v>
      </c>
      <c r="D191" s="83">
        <v>5058.2</v>
      </c>
      <c r="E191" s="63">
        <v>278724.86</v>
      </c>
      <c r="F191" s="63">
        <v>0</v>
      </c>
      <c r="G191" s="63">
        <v>0</v>
      </c>
      <c r="H191" s="63">
        <v>278724.86</v>
      </c>
      <c r="I191" s="63">
        <v>274924.9</v>
      </c>
      <c r="J191" s="66">
        <f t="shared" si="21"/>
        <v>22458.408</v>
      </c>
      <c r="K191" s="66">
        <f t="shared" si="22"/>
        <v>72231.09599999999</v>
      </c>
      <c r="L191" s="66">
        <f t="shared" si="23"/>
        <v>71624.112</v>
      </c>
      <c r="M191" s="66">
        <f t="shared" si="24"/>
        <v>15781.584</v>
      </c>
      <c r="N191" s="66">
        <f t="shared" si="25"/>
        <v>3641.9039999999995</v>
      </c>
      <c r="O191" s="66">
        <f t="shared" si="26"/>
        <v>11128.039999999999</v>
      </c>
      <c r="P191" s="66">
        <v>2532.69</v>
      </c>
      <c r="Q191" s="63">
        <v>17920.36</v>
      </c>
      <c r="R191" s="63"/>
      <c r="S191" s="66">
        <f>D191*0.55*8+D191*0.59</f>
        <v>25240.418</v>
      </c>
      <c r="T191" s="67">
        <f>SUM(J191:S191)</f>
        <v>242558.61200000002</v>
      </c>
      <c r="U191" s="67">
        <f>D191*1.34*8+D191*1.45*4</f>
        <v>83561.464</v>
      </c>
      <c r="V191" s="67">
        <f>D191*3*8+D191*3.56*4</f>
        <v>193425.56799999997</v>
      </c>
      <c r="W191" s="57">
        <v>25730</v>
      </c>
      <c r="X191" s="56"/>
      <c r="Y191" s="56"/>
      <c r="Z191" s="56"/>
      <c r="AA191" s="56"/>
      <c r="AB191" s="56"/>
      <c r="AC191" s="56"/>
      <c r="AD191" s="56"/>
      <c r="AE191" s="56"/>
      <c r="AF191" s="56">
        <v>6238</v>
      </c>
      <c r="AG191" s="56"/>
      <c r="AH191" s="56">
        <v>2541</v>
      </c>
      <c r="AI191" s="56"/>
      <c r="AJ191" s="56"/>
      <c r="AK191" s="56"/>
      <c r="AL191" s="67">
        <f t="shared" si="20"/>
        <v>34509</v>
      </c>
    </row>
    <row r="192" spans="1:38" ht="15.75">
      <c r="A192" s="63" t="s">
        <v>120</v>
      </c>
      <c r="B192" s="63" t="s">
        <v>124</v>
      </c>
      <c r="C192" s="63" t="s">
        <v>2</v>
      </c>
      <c r="D192" s="83">
        <v>5594</v>
      </c>
      <c r="E192" s="63">
        <v>300484.79</v>
      </c>
      <c r="F192" s="63">
        <v>0</v>
      </c>
      <c r="G192" s="63">
        <v>1270</v>
      </c>
      <c r="H192" s="63">
        <v>299214.79</v>
      </c>
      <c r="I192" s="63">
        <v>289705.64</v>
      </c>
      <c r="J192" s="66">
        <f t="shared" si="21"/>
        <v>24837.36</v>
      </c>
      <c r="K192" s="66">
        <f t="shared" si="22"/>
        <v>79882.31999999999</v>
      </c>
      <c r="L192" s="66">
        <f t="shared" si="23"/>
        <v>79211.04000000001</v>
      </c>
      <c r="M192" s="66">
        <f t="shared" si="24"/>
        <v>17453.28</v>
      </c>
      <c r="N192" s="66">
        <f t="shared" si="25"/>
        <v>4027.68</v>
      </c>
      <c r="O192" s="66">
        <f t="shared" si="26"/>
        <v>12306.8</v>
      </c>
      <c r="P192" s="66">
        <v>5392.28</v>
      </c>
      <c r="Q192" s="63"/>
      <c r="R192" s="63"/>
      <c r="S192" s="66">
        <f>D192*0.55*8+D192*0.59</f>
        <v>27914.06</v>
      </c>
      <c r="T192" s="67">
        <f>SUM(J192:S192)</f>
        <v>251024.81999999998</v>
      </c>
      <c r="U192" s="67">
        <f>D192*1.34*8+D192*1.45*4</f>
        <v>92412.88</v>
      </c>
      <c r="V192" s="67">
        <f>D192*3*8+D192*3.56*4</f>
        <v>213914.56</v>
      </c>
      <c r="W192" s="57"/>
      <c r="X192" s="56">
        <v>15430</v>
      </c>
      <c r="Y192" s="56"/>
      <c r="Z192" s="56">
        <v>101506</v>
      </c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67">
        <f t="shared" si="20"/>
        <v>116936</v>
      </c>
    </row>
    <row r="193" spans="1:38" ht="15.75">
      <c r="A193" s="63" t="s">
        <v>120</v>
      </c>
      <c r="B193" s="63" t="s">
        <v>125</v>
      </c>
      <c r="C193" s="63" t="s">
        <v>2</v>
      </c>
      <c r="D193" s="83">
        <v>3318.2</v>
      </c>
      <c r="E193" s="63">
        <v>186028.4</v>
      </c>
      <c r="F193" s="63">
        <v>0</v>
      </c>
      <c r="G193" s="63">
        <v>0</v>
      </c>
      <c r="H193" s="63">
        <v>186028.4</v>
      </c>
      <c r="I193" s="63">
        <v>185286.32</v>
      </c>
      <c r="J193" s="66">
        <f t="shared" si="21"/>
        <v>14732.807999999999</v>
      </c>
      <c r="K193" s="66">
        <f t="shared" si="22"/>
        <v>47383.89599999999</v>
      </c>
      <c r="L193" s="66">
        <f t="shared" si="23"/>
        <v>46985.712</v>
      </c>
      <c r="M193" s="66">
        <f t="shared" si="24"/>
        <v>10352.784</v>
      </c>
      <c r="N193" s="66">
        <f t="shared" si="25"/>
        <v>2389.104</v>
      </c>
      <c r="O193" s="66">
        <f t="shared" si="26"/>
        <v>7300.039999999999</v>
      </c>
      <c r="P193" s="66">
        <v>3543.84</v>
      </c>
      <c r="Q193" s="63">
        <v>10718.72</v>
      </c>
      <c r="R193" s="63"/>
      <c r="S193" s="66">
        <f>D193*0.55*8+D193*0.59</f>
        <v>16557.818</v>
      </c>
      <c r="T193" s="67">
        <f>SUM(J193:S193)</f>
        <v>159964.722</v>
      </c>
      <c r="U193" s="67">
        <f>D193*1.34*8+D193*1.45*4</f>
        <v>54816.664</v>
      </c>
      <c r="V193" s="67">
        <f>D193*3*8+D193*3.56*4</f>
        <v>126887.968</v>
      </c>
      <c r="W193" s="57">
        <v>31976</v>
      </c>
      <c r="X193" s="56"/>
      <c r="Y193" s="56"/>
      <c r="Z193" s="56">
        <v>2311</v>
      </c>
      <c r="AA193" s="56"/>
      <c r="AB193" s="56"/>
      <c r="AC193" s="56"/>
      <c r="AD193" s="56"/>
      <c r="AE193" s="56"/>
      <c r="AF193" s="56">
        <v>6238</v>
      </c>
      <c r="AG193" s="56">
        <v>30156</v>
      </c>
      <c r="AH193" s="56">
        <v>2098</v>
      </c>
      <c r="AI193" s="56"/>
      <c r="AJ193" s="56"/>
      <c r="AK193" s="56"/>
      <c r="AL193" s="67">
        <f t="shared" si="20"/>
        <v>72779</v>
      </c>
    </row>
    <row r="194" spans="1:38" ht="15.75">
      <c r="A194" s="63" t="s">
        <v>120</v>
      </c>
      <c r="B194" s="63" t="s">
        <v>81</v>
      </c>
      <c r="C194" s="63" t="s">
        <v>66</v>
      </c>
      <c r="D194" s="83">
        <v>6190.9</v>
      </c>
      <c r="E194" s="63">
        <v>363613.47</v>
      </c>
      <c r="F194" s="63">
        <v>-7713.1</v>
      </c>
      <c r="G194" s="63">
        <v>2604.19</v>
      </c>
      <c r="H194" s="63">
        <v>353296.18</v>
      </c>
      <c r="I194" s="63">
        <v>354063.25</v>
      </c>
      <c r="J194" s="66">
        <f t="shared" si="21"/>
        <v>27487.595999999998</v>
      </c>
      <c r="K194" s="66">
        <f t="shared" si="22"/>
        <v>88406.052</v>
      </c>
      <c r="L194" s="66">
        <f t="shared" si="23"/>
        <v>87663.14399999999</v>
      </c>
      <c r="M194" s="66">
        <f t="shared" si="24"/>
        <v>19315.608</v>
      </c>
      <c r="N194" s="66">
        <f t="shared" si="25"/>
        <v>4457.447999999999</v>
      </c>
      <c r="O194" s="66">
        <f t="shared" si="26"/>
        <v>13619.98</v>
      </c>
      <c r="P194" s="66">
        <v>3543.84</v>
      </c>
      <c r="Q194" s="63"/>
      <c r="R194" s="63"/>
      <c r="S194" s="66">
        <f>D194*0.55*8+D194*0.59</f>
        <v>30892.591</v>
      </c>
      <c r="T194" s="67">
        <f>SUM(J194:S194)</f>
        <v>275386.25899999996</v>
      </c>
      <c r="U194" s="67">
        <f>D194*1.34*8+D194*1.45*4</f>
        <v>102273.668</v>
      </c>
      <c r="V194" s="67">
        <f>D194*3*8+D194*3.56*4</f>
        <v>236740.01599999997</v>
      </c>
      <c r="W194" s="57">
        <v>37500</v>
      </c>
      <c r="X194" s="56"/>
      <c r="Y194" s="56"/>
      <c r="Z194" s="56">
        <v>4622</v>
      </c>
      <c r="AA194" s="56">
        <v>496657</v>
      </c>
      <c r="AB194" s="56">
        <v>185</v>
      </c>
      <c r="AC194" s="56"/>
      <c r="AD194" s="56"/>
      <c r="AE194" s="56">
        <v>1578</v>
      </c>
      <c r="AF194" s="56"/>
      <c r="AG194" s="56">
        <v>86</v>
      </c>
      <c r="AH194" s="56">
        <v>12960</v>
      </c>
      <c r="AI194" s="56">
        <v>575</v>
      </c>
      <c r="AJ194" s="56">
        <v>131329</v>
      </c>
      <c r="AK194" s="56"/>
      <c r="AL194" s="67">
        <f t="shared" si="20"/>
        <v>685492</v>
      </c>
    </row>
    <row r="195" spans="1:38" ht="15.75">
      <c r="A195" s="63" t="s">
        <v>120</v>
      </c>
      <c r="B195" s="63" t="s">
        <v>39</v>
      </c>
      <c r="C195" s="63" t="s">
        <v>2</v>
      </c>
      <c r="D195" s="83">
        <v>4987.6</v>
      </c>
      <c r="E195" s="63">
        <v>311640.4</v>
      </c>
      <c r="F195" s="63">
        <v>0</v>
      </c>
      <c r="G195" s="63">
        <v>2639</v>
      </c>
      <c r="H195" s="63">
        <v>309001.4</v>
      </c>
      <c r="I195" s="63">
        <v>298243.75</v>
      </c>
      <c r="J195" s="66">
        <f t="shared" si="21"/>
        <v>22144.944000000003</v>
      </c>
      <c r="K195" s="66">
        <f t="shared" si="22"/>
        <v>71222.92800000001</v>
      </c>
      <c r="L195" s="66">
        <f t="shared" si="23"/>
        <v>70624.416</v>
      </c>
      <c r="M195" s="66">
        <f t="shared" si="24"/>
        <v>15561.312000000002</v>
      </c>
      <c r="N195" s="66">
        <f t="shared" si="25"/>
        <v>3591.072</v>
      </c>
      <c r="O195" s="66">
        <f t="shared" si="26"/>
        <v>10972.720000000001</v>
      </c>
      <c r="P195" s="66">
        <v>3543.84</v>
      </c>
      <c r="Q195" s="63"/>
      <c r="R195" s="63"/>
      <c r="S195" s="66">
        <f>D195*0.55*8+D195*0.59</f>
        <v>24888.124000000003</v>
      </c>
      <c r="T195" s="67">
        <f>SUM(J195:S195)</f>
        <v>222549.35600000003</v>
      </c>
      <c r="U195" s="67">
        <f>D195*1.34*8+D195*1.45*4</f>
        <v>82395.152</v>
      </c>
      <c r="V195" s="67">
        <f>D195*3*8+D195*3.56*4</f>
        <v>190725.82400000002</v>
      </c>
      <c r="W195" s="57"/>
      <c r="X195" s="56"/>
      <c r="Y195" s="56"/>
      <c r="Z195" s="56">
        <v>348</v>
      </c>
      <c r="AA195" s="56"/>
      <c r="AB195" s="56">
        <v>1546</v>
      </c>
      <c r="AC195" s="56"/>
      <c r="AD195" s="56"/>
      <c r="AE195" s="56"/>
      <c r="AF195" s="56">
        <v>10734</v>
      </c>
      <c r="AG195" s="56"/>
      <c r="AH195" s="56">
        <v>4089</v>
      </c>
      <c r="AI195" s="56"/>
      <c r="AJ195" s="56">
        <v>498</v>
      </c>
      <c r="AK195" s="56"/>
      <c r="AL195" s="67">
        <f t="shared" si="20"/>
        <v>17215</v>
      </c>
    </row>
    <row r="196" spans="1:38" ht="15.75">
      <c r="A196" s="63" t="s">
        <v>120</v>
      </c>
      <c r="B196" s="63" t="s">
        <v>126</v>
      </c>
      <c r="C196" s="63" t="s">
        <v>2</v>
      </c>
      <c r="D196" s="83">
        <v>4396.2</v>
      </c>
      <c r="E196" s="63">
        <v>18409.68</v>
      </c>
      <c r="F196" s="63">
        <v>0</v>
      </c>
      <c r="G196" s="63">
        <v>0</v>
      </c>
      <c r="H196" s="63">
        <v>18409.68</v>
      </c>
      <c r="I196" s="63">
        <v>18250.29</v>
      </c>
      <c r="J196" s="66">
        <f t="shared" si="21"/>
        <v>19519.127999999997</v>
      </c>
      <c r="K196" s="66">
        <f t="shared" si="22"/>
        <v>62777.73599999999</v>
      </c>
      <c r="L196" s="66">
        <f t="shared" si="23"/>
        <v>62250.191999999995</v>
      </c>
      <c r="M196" s="66">
        <f t="shared" si="24"/>
        <v>13716.144</v>
      </c>
      <c r="N196" s="66">
        <f t="shared" si="25"/>
        <v>3165.264</v>
      </c>
      <c r="O196" s="66">
        <f t="shared" si="26"/>
        <v>9671.64</v>
      </c>
      <c r="P196" s="66">
        <v>1400.68</v>
      </c>
      <c r="Q196" s="63">
        <v>13900.84</v>
      </c>
      <c r="R196" s="63"/>
      <c r="S196" s="66">
        <f>D196*0.55*8+D196*0.59</f>
        <v>21937.038</v>
      </c>
      <c r="T196" s="67">
        <f>SUM(J196:S196)</f>
        <v>208338.66199999998</v>
      </c>
      <c r="U196" s="67">
        <f>D196*1.34*8+D196*1.45*4</f>
        <v>72625.224</v>
      </c>
      <c r="V196" s="67">
        <f>D196*3*8+D196*3.56*4</f>
        <v>168110.688</v>
      </c>
      <c r="W196" s="57"/>
      <c r="X196" s="56">
        <v>5358</v>
      </c>
      <c r="Y196" s="56"/>
      <c r="Z196" s="56"/>
      <c r="AA196" s="56"/>
      <c r="AB196" s="56"/>
      <c r="AC196" s="56"/>
      <c r="AD196" s="56"/>
      <c r="AE196" s="56">
        <v>26240</v>
      </c>
      <c r="AF196" s="56"/>
      <c r="AG196" s="56"/>
      <c r="AH196" s="56">
        <v>8187</v>
      </c>
      <c r="AI196" s="56"/>
      <c r="AJ196" s="56"/>
      <c r="AK196" s="56"/>
      <c r="AL196" s="67">
        <f t="shared" si="20"/>
        <v>39785</v>
      </c>
    </row>
    <row r="197" spans="1:38" ht="15.75">
      <c r="A197" s="63" t="s">
        <v>120</v>
      </c>
      <c r="B197" s="63" t="s">
        <v>127</v>
      </c>
      <c r="C197" s="63" t="s">
        <v>2</v>
      </c>
      <c r="D197" s="83">
        <v>4974</v>
      </c>
      <c r="E197" s="63">
        <v>267311.24</v>
      </c>
      <c r="F197" s="63">
        <v>0</v>
      </c>
      <c r="G197" s="63">
        <v>0</v>
      </c>
      <c r="H197" s="63">
        <v>267311.24</v>
      </c>
      <c r="I197" s="63">
        <v>265452.65</v>
      </c>
      <c r="J197" s="66">
        <f t="shared" si="21"/>
        <v>22084.559999999998</v>
      </c>
      <c r="K197" s="66">
        <f t="shared" si="22"/>
        <v>71028.72</v>
      </c>
      <c r="L197" s="66">
        <f t="shared" si="23"/>
        <v>70431.84</v>
      </c>
      <c r="M197" s="66">
        <f t="shared" si="24"/>
        <v>15518.880000000001</v>
      </c>
      <c r="N197" s="66">
        <f t="shared" si="25"/>
        <v>3581.2799999999997</v>
      </c>
      <c r="O197" s="66">
        <f t="shared" si="26"/>
        <v>10942.8</v>
      </c>
      <c r="P197" s="66">
        <v>1501.76</v>
      </c>
      <c r="Q197" s="63"/>
      <c r="R197" s="63"/>
      <c r="S197" s="66">
        <f>D197*0.55*8+D197*0.59</f>
        <v>24820.260000000002</v>
      </c>
      <c r="T197" s="67">
        <f>SUM(J197:S197)</f>
        <v>219910.1</v>
      </c>
      <c r="U197" s="67">
        <f>D197*1.34*8+D197*1.45*4</f>
        <v>82170.48000000001</v>
      </c>
      <c r="V197" s="67">
        <f>D197*3*8+D197*3.56*4</f>
        <v>190205.76</v>
      </c>
      <c r="W197" s="57"/>
      <c r="X197" s="56"/>
      <c r="Y197" s="56"/>
      <c r="Z197" s="56"/>
      <c r="AA197" s="56">
        <v>1107</v>
      </c>
      <c r="AB197" s="56"/>
      <c r="AC197" s="56"/>
      <c r="AD197" s="56"/>
      <c r="AE197" s="56"/>
      <c r="AF197" s="56">
        <v>1218</v>
      </c>
      <c r="AG197" s="56">
        <v>44895</v>
      </c>
      <c r="AH197" s="56">
        <v>1672</v>
      </c>
      <c r="AI197" s="56">
        <v>49260</v>
      </c>
      <c r="AJ197" s="56">
        <v>1150</v>
      </c>
      <c r="AK197" s="56"/>
      <c r="AL197" s="67">
        <f t="shared" si="20"/>
        <v>99302</v>
      </c>
    </row>
    <row r="198" spans="1:38" ht="15.75">
      <c r="A198" s="63" t="s">
        <v>120</v>
      </c>
      <c r="B198" s="63" t="s">
        <v>9</v>
      </c>
      <c r="C198" s="63" t="s">
        <v>2</v>
      </c>
      <c r="D198" s="83">
        <v>6176.6</v>
      </c>
      <c r="E198" s="63">
        <v>361927.05</v>
      </c>
      <c r="F198" s="63">
        <v>0</v>
      </c>
      <c r="G198" s="63">
        <v>1265.2</v>
      </c>
      <c r="H198" s="63">
        <v>360661.85</v>
      </c>
      <c r="I198" s="63">
        <v>353293.84</v>
      </c>
      <c r="J198" s="66">
        <f t="shared" si="21"/>
        <v>27424.104</v>
      </c>
      <c r="K198" s="66">
        <f t="shared" si="22"/>
        <v>88201.848</v>
      </c>
      <c r="L198" s="66">
        <f t="shared" si="23"/>
        <v>87460.656</v>
      </c>
      <c r="M198" s="66">
        <f t="shared" si="24"/>
        <v>19270.992000000002</v>
      </c>
      <c r="N198" s="66">
        <f t="shared" si="25"/>
        <v>4447.152</v>
      </c>
      <c r="O198" s="66">
        <f t="shared" si="26"/>
        <v>13588.52</v>
      </c>
      <c r="P198" s="66">
        <v>6574.08</v>
      </c>
      <c r="Q198" s="63">
        <v>21437.44</v>
      </c>
      <c r="R198" s="63"/>
      <c r="S198" s="66">
        <f>D198*0.55*8+D198*0.59</f>
        <v>30821.234000000004</v>
      </c>
      <c r="T198" s="67">
        <f>SUM(J198:S198)</f>
        <v>299226.02599999995</v>
      </c>
      <c r="U198" s="67">
        <f>D198*1.34*8+D198*1.45*4</f>
        <v>102037.432</v>
      </c>
      <c r="V198" s="67">
        <f>D198*3*8+D198*3.56*4</f>
        <v>236193.184</v>
      </c>
      <c r="W198" s="57">
        <v>77</v>
      </c>
      <c r="X198" s="56">
        <v>4413</v>
      </c>
      <c r="Y198" s="56"/>
      <c r="Z198" s="56"/>
      <c r="AA198" s="56"/>
      <c r="AB198" s="56">
        <v>844</v>
      </c>
      <c r="AC198" s="56"/>
      <c r="AD198" s="56"/>
      <c r="AE198" s="56"/>
      <c r="AF198" s="56">
        <v>7120</v>
      </c>
      <c r="AG198" s="56">
        <v>15078</v>
      </c>
      <c r="AH198" s="56">
        <v>55008</v>
      </c>
      <c r="AI198" s="56"/>
      <c r="AJ198" s="56"/>
      <c r="AK198" s="56"/>
      <c r="AL198" s="67">
        <f t="shared" si="20"/>
        <v>82540</v>
      </c>
    </row>
    <row r="199" spans="1:38" ht="15.75">
      <c r="A199" s="63" t="s">
        <v>120</v>
      </c>
      <c r="B199" s="63" t="s">
        <v>91</v>
      </c>
      <c r="C199" s="63" t="s">
        <v>111</v>
      </c>
      <c r="D199" s="83">
        <v>3478.3</v>
      </c>
      <c r="E199" s="63">
        <v>194925.76</v>
      </c>
      <c r="F199" s="63">
        <v>0</v>
      </c>
      <c r="G199" s="63">
        <v>0</v>
      </c>
      <c r="H199" s="63">
        <v>194925.76</v>
      </c>
      <c r="I199" s="63">
        <v>185827.58</v>
      </c>
      <c r="J199" s="66">
        <f t="shared" si="21"/>
        <v>15443.652000000002</v>
      </c>
      <c r="K199" s="66">
        <f t="shared" si="22"/>
        <v>49670.123999999996</v>
      </c>
      <c r="L199" s="66">
        <f t="shared" si="23"/>
        <v>49252.728</v>
      </c>
      <c r="M199" s="66">
        <f t="shared" si="24"/>
        <v>10852.296</v>
      </c>
      <c r="N199" s="66">
        <f t="shared" si="25"/>
        <v>2504.376</v>
      </c>
      <c r="O199" s="66">
        <f t="shared" si="26"/>
        <v>7652.26</v>
      </c>
      <c r="P199" s="66">
        <v>1083</v>
      </c>
      <c r="Q199" s="63"/>
      <c r="R199" s="63"/>
      <c r="S199" s="66">
        <f>D199*0.55*8+D199*0.59</f>
        <v>17356.717000000004</v>
      </c>
      <c r="T199" s="67">
        <f>SUM(J199:S199)</f>
        <v>153815.15300000002</v>
      </c>
      <c r="U199" s="67">
        <f>D199*1.34*8+D199*1.45*4</f>
        <v>57461.516</v>
      </c>
      <c r="V199" s="67">
        <f>D199*3*8+D199*3.56*4</f>
        <v>133010.192</v>
      </c>
      <c r="W199" s="57"/>
      <c r="X199" s="56"/>
      <c r="Y199" s="56">
        <v>19904</v>
      </c>
      <c r="Z199" s="56"/>
      <c r="AA199" s="56"/>
      <c r="AB199" s="56">
        <v>18272</v>
      </c>
      <c r="AC199" s="56"/>
      <c r="AD199" s="56"/>
      <c r="AE199" s="56">
        <v>52480</v>
      </c>
      <c r="AF199" s="56">
        <v>5542</v>
      </c>
      <c r="AG199" s="56"/>
      <c r="AH199" s="56"/>
      <c r="AI199" s="56"/>
      <c r="AJ199" s="56"/>
      <c r="AK199" s="56"/>
      <c r="AL199" s="67">
        <f t="shared" si="20"/>
        <v>96198</v>
      </c>
    </row>
    <row r="200" spans="1:38" ht="15.75">
      <c r="A200" s="63" t="s">
        <v>120</v>
      </c>
      <c r="B200" s="63" t="s">
        <v>46</v>
      </c>
      <c r="C200" s="63" t="s">
        <v>66</v>
      </c>
      <c r="D200" s="83">
        <v>14044.8</v>
      </c>
      <c r="E200" s="63">
        <v>819154.02</v>
      </c>
      <c r="F200" s="63">
        <v>-700</v>
      </c>
      <c r="G200" s="63">
        <v>1270</v>
      </c>
      <c r="H200" s="63">
        <v>817184.02</v>
      </c>
      <c r="I200" s="63">
        <v>804604.13</v>
      </c>
      <c r="J200" s="66">
        <f t="shared" si="21"/>
        <v>62358.912</v>
      </c>
      <c r="K200" s="66">
        <f t="shared" si="22"/>
        <v>200559.74399999998</v>
      </c>
      <c r="L200" s="66">
        <f t="shared" si="23"/>
        <v>198874.36799999996</v>
      </c>
      <c r="M200" s="66">
        <f t="shared" si="24"/>
        <v>43819.776</v>
      </c>
      <c r="N200" s="66">
        <f t="shared" si="25"/>
        <v>10112.255999999998</v>
      </c>
      <c r="O200" s="66">
        <f t="shared" si="26"/>
        <v>30898.559999999998</v>
      </c>
      <c r="P200" s="66">
        <v>3624.44</v>
      </c>
      <c r="Q200" s="63"/>
      <c r="R200" s="63"/>
      <c r="S200" s="66">
        <f>D200*0.55*8+D200*0.59</f>
        <v>70083.552</v>
      </c>
      <c r="T200" s="67">
        <f>SUM(J200:S200)</f>
        <v>620331.6079999999</v>
      </c>
      <c r="U200" s="67">
        <f>D200*1.34*8+D200*1.45*4</f>
        <v>232020.096</v>
      </c>
      <c r="V200" s="67">
        <f>D200*3*8+D200*3.56*4</f>
        <v>537073.152</v>
      </c>
      <c r="W200" s="57">
        <v>2473</v>
      </c>
      <c r="X200" s="56"/>
      <c r="Y200" s="56">
        <v>19904</v>
      </c>
      <c r="Z200" s="56"/>
      <c r="AA200" s="56"/>
      <c r="AB200" s="56">
        <v>13592</v>
      </c>
      <c r="AC200" s="56"/>
      <c r="AD200" s="56"/>
      <c r="AE200" s="56"/>
      <c r="AF200" s="56">
        <v>15444</v>
      </c>
      <c r="AG200" s="56"/>
      <c r="AH200" s="58">
        <v>18911</v>
      </c>
      <c r="AI200" s="56"/>
      <c r="AJ200" s="56"/>
      <c r="AK200" s="56"/>
      <c r="AL200" s="67">
        <f aca="true" t="shared" si="33" ref="AL200:AL252">SUM(W200:AK200)</f>
        <v>70324</v>
      </c>
    </row>
    <row r="201" spans="1:38" ht="15.75">
      <c r="A201" s="63" t="s">
        <v>120</v>
      </c>
      <c r="B201" s="63" t="s">
        <v>47</v>
      </c>
      <c r="C201" s="63" t="s">
        <v>66</v>
      </c>
      <c r="D201" s="83">
        <v>16045.9</v>
      </c>
      <c r="E201" s="63">
        <v>1006197.59</v>
      </c>
      <c r="F201" s="63">
        <v>-1885.8</v>
      </c>
      <c r="G201" s="63">
        <v>9550</v>
      </c>
      <c r="H201" s="63">
        <v>994761.79</v>
      </c>
      <c r="I201" s="63">
        <v>956528.39</v>
      </c>
      <c r="J201" s="66">
        <f t="shared" si="21"/>
        <v>71243.796</v>
      </c>
      <c r="K201" s="66">
        <f t="shared" si="22"/>
        <v>229135.452</v>
      </c>
      <c r="L201" s="66">
        <f t="shared" si="23"/>
        <v>227209.94400000002</v>
      </c>
      <c r="M201" s="66">
        <f t="shared" si="24"/>
        <v>50063.208</v>
      </c>
      <c r="N201" s="66">
        <f t="shared" si="25"/>
        <v>11553.047999999999</v>
      </c>
      <c r="O201" s="66">
        <f t="shared" si="26"/>
        <v>35300.979999999996</v>
      </c>
      <c r="P201" s="66">
        <v>4664.12</v>
      </c>
      <c r="Q201" s="63"/>
      <c r="R201" s="63"/>
      <c r="S201" s="66">
        <f>D201*0.55*8+D201*0.59</f>
        <v>80069.04100000001</v>
      </c>
      <c r="T201" s="67">
        <f>SUM(J201:S201)</f>
        <v>709239.5889999999</v>
      </c>
      <c r="U201" s="67">
        <f>D201*1.34*8+D201*1.45*4</f>
        <v>265078.26800000004</v>
      </c>
      <c r="V201" s="67">
        <f>D201*3*8+D201*3.56*4</f>
        <v>613595.216</v>
      </c>
      <c r="W201" s="57">
        <v>10580</v>
      </c>
      <c r="X201" s="56"/>
      <c r="Y201" s="56">
        <v>43633</v>
      </c>
      <c r="Z201" s="56"/>
      <c r="AA201" s="56"/>
      <c r="AB201" s="56">
        <v>44340</v>
      </c>
      <c r="AC201" s="56"/>
      <c r="AD201" s="56"/>
      <c r="AE201" s="56"/>
      <c r="AF201" s="56">
        <v>3089</v>
      </c>
      <c r="AG201" s="56"/>
      <c r="AH201" s="56">
        <v>83252</v>
      </c>
      <c r="AI201" s="56">
        <v>2520</v>
      </c>
      <c r="AJ201" s="56"/>
      <c r="AK201" s="56"/>
      <c r="AL201" s="67">
        <f t="shared" si="33"/>
        <v>187414</v>
      </c>
    </row>
    <row r="202" spans="1:38" ht="15.75">
      <c r="A202" s="63" t="s">
        <v>120</v>
      </c>
      <c r="B202" s="63" t="s">
        <v>47</v>
      </c>
      <c r="C202" s="63" t="s">
        <v>111</v>
      </c>
      <c r="D202" s="83">
        <v>19874.5</v>
      </c>
      <c r="E202" s="63">
        <v>1198628.48</v>
      </c>
      <c r="F202" s="63">
        <v>-18828.57</v>
      </c>
      <c r="G202" s="63">
        <v>14277.79</v>
      </c>
      <c r="H202" s="63">
        <v>1165522.12</v>
      </c>
      <c r="I202" s="63">
        <v>1162108.24</v>
      </c>
      <c r="J202" s="66">
        <f t="shared" si="21"/>
        <v>88242.78</v>
      </c>
      <c r="K202" s="66">
        <f t="shared" si="22"/>
        <v>283807.86</v>
      </c>
      <c r="L202" s="66">
        <f t="shared" si="23"/>
        <v>281422.92</v>
      </c>
      <c r="M202" s="66">
        <f t="shared" si="24"/>
        <v>62008.44</v>
      </c>
      <c r="N202" s="66">
        <f t="shared" si="25"/>
        <v>14309.64</v>
      </c>
      <c r="O202" s="66">
        <f t="shared" si="26"/>
        <v>43723.9</v>
      </c>
      <c r="P202" s="66">
        <v>5689.36</v>
      </c>
      <c r="Q202" s="63"/>
      <c r="R202" s="63"/>
      <c r="S202" s="66">
        <f>D202*0.55*8+D202*0.59</f>
        <v>99173.755</v>
      </c>
      <c r="T202" s="67">
        <f>SUM(J202:S202)</f>
        <v>878378.655</v>
      </c>
      <c r="U202" s="67">
        <f>D202*1.34*8+D202*1.45*4</f>
        <v>328326.74</v>
      </c>
      <c r="V202" s="67">
        <f>D202*3*8+D202*3.56*4</f>
        <v>760000.88</v>
      </c>
      <c r="W202" s="57">
        <v>1486</v>
      </c>
      <c r="X202" s="56"/>
      <c r="Y202" s="56">
        <v>19904</v>
      </c>
      <c r="Z202" s="56"/>
      <c r="AA202" s="56">
        <v>20684</v>
      </c>
      <c r="AB202" s="56">
        <v>6068</v>
      </c>
      <c r="AC202" s="56"/>
      <c r="AD202" s="56"/>
      <c r="AE202" s="56"/>
      <c r="AF202" s="56">
        <v>9133</v>
      </c>
      <c r="AG202" s="56">
        <v>15250</v>
      </c>
      <c r="AH202" s="56">
        <v>35861</v>
      </c>
      <c r="AI202" s="56"/>
      <c r="AJ202" s="56"/>
      <c r="AK202" s="56">
        <v>2269</v>
      </c>
      <c r="AL202" s="67">
        <f t="shared" si="33"/>
        <v>110655</v>
      </c>
    </row>
    <row r="203" spans="1:38" ht="15.75">
      <c r="A203" s="63" t="s">
        <v>130</v>
      </c>
      <c r="B203" s="63" t="s">
        <v>65</v>
      </c>
      <c r="C203" s="63" t="s">
        <v>2</v>
      </c>
      <c r="D203" s="83">
        <v>274.5</v>
      </c>
      <c r="E203" s="63">
        <v>6845.3</v>
      </c>
      <c r="F203" s="63">
        <v>0</v>
      </c>
      <c r="G203" s="63">
        <v>0</v>
      </c>
      <c r="H203" s="63">
        <v>6845.3</v>
      </c>
      <c r="I203" s="63">
        <v>5322.66</v>
      </c>
      <c r="J203" s="66">
        <f>D203*8*0.36+D203*0.39*4</f>
        <v>1218.78</v>
      </c>
      <c r="K203" s="66">
        <f>D203*1.19*12</f>
        <v>3919.8599999999997</v>
      </c>
      <c r="L203" s="66">
        <f>D203*1.18*12</f>
        <v>3886.9199999999996</v>
      </c>
      <c r="M203" s="66">
        <f>D203*0.26*12</f>
        <v>856.44</v>
      </c>
      <c r="N203" s="66">
        <f>D203*0.06*12</f>
        <v>197.64</v>
      </c>
      <c r="O203" s="66">
        <f>D203*0.18*8+D203*0.19*4</f>
        <v>603.9</v>
      </c>
      <c r="P203" s="66"/>
      <c r="Q203" s="63"/>
      <c r="R203" s="63"/>
      <c r="S203" s="66">
        <f>D203*0.55*8+D203*0.59</f>
        <v>1369.755</v>
      </c>
      <c r="T203" s="67">
        <f>SUM(J203:S203)</f>
        <v>12053.294999999998</v>
      </c>
      <c r="U203" s="67"/>
      <c r="V203" s="67">
        <f>D203*3*8+D203*3.56*4</f>
        <v>10496.880000000001</v>
      </c>
      <c r="W203" s="57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67">
        <f t="shared" si="33"/>
        <v>0</v>
      </c>
    </row>
    <row r="204" spans="1:38" ht="15.75">
      <c r="A204" s="63" t="s">
        <v>130</v>
      </c>
      <c r="B204" s="63" t="s">
        <v>122</v>
      </c>
      <c r="C204" s="63" t="s">
        <v>2</v>
      </c>
      <c r="D204" s="83">
        <v>3232.9</v>
      </c>
      <c r="E204" s="63">
        <v>206016.18</v>
      </c>
      <c r="F204" s="63">
        <v>-4907.04</v>
      </c>
      <c r="G204" s="63">
        <v>0</v>
      </c>
      <c r="H204" s="63">
        <v>201109.14</v>
      </c>
      <c r="I204" s="63">
        <v>197976.86</v>
      </c>
      <c r="J204" s="66">
        <f aca="true" t="shared" si="34" ref="J204:J252">D204*8*0.36+D204*0.39*4</f>
        <v>14354.076000000001</v>
      </c>
      <c r="K204" s="66">
        <f aca="true" t="shared" si="35" ref="K204:K252">D204*1.19*12</f>
        <v>46165.812</v>
      </c>
      <c r="L204" s="66">
        <f aca="true" t="shared" si="36" ref="L204:L252">D204*1.18*12</f>
        <v>45777.864</v>
      </c>
      <c r="M204" s="66">
        <f aca="true" t="shared" si="37" ref="M204:M252">D204*0.26*12</f>
        <v>10086.648000000001</v>
      </c>
      <c r="N204" s="66">
        <f aca="true" t="shared" si="38" ref="N204:N252">D204*0.06*12</f>
        <v>2327.688</v>
      </c>
      <c r="O204" s="66">
        <f aca="true" t="shared" si="39" ref="O204:O252">D204*0.18*8+D204*0.19*4</f>
        <v>7112.38</v>
      </c>
      <c r="P204" s="66">
        <v>1010.8</v>
      </c>
      <c r="Q204" s="63">
        <v>11723.6</v>
      </c>
      <c r="R204" s="63"/>
      <c r="S204" s="66">
        <f>D204*0.55*8+D204*0.59</f>
        <v>16132.171000000002</v>
      </c>
      <c r="T204" s="67">
        <f>SUM(J204:S204)</f>
        <v>154691.03900000002</v>
      </c>
      <c r="U204" s="67">
        <f>D204*1.34*8+D204*1.45*4</f>
        <v>53407.508</v>
      </c>
      <c r="V204" s="67">
        <f>D204*3*8+D204*3.56*4</f>
        <v>123626.096</v>
      </c>
      <c r="W204" s="57"/>
      <c r="X204" s="56"/>
      <c r="Y204" s="56">
        <v>9952</v>
      </c>
      <c r="Z204" s="56"/>
      <c r="AA204" s="56"/>
      <c r="AB204" s="56"/>
      <c r="AC204" s="56">
        <v>3451</v>
      </c>
      <c r="AD204" s="56"/>
      <c r="AE204" s="56">
        <v>52480</v>
      </c>
      <c r="AF204" s="56">
        <v>1944</v>
      </c>
      <c r="AG204" s="56"/>
      <c r="AH204" s="56"/>
      <c r="AI204" s="56"/>
      <c r="AJ204" s="56"/>
      <c r="AK204" s="56"/>
      <c r="AL204" s="67">
        <f t="shared" si="33"/>
        <v>67827</v>
      </c>
    </row>
    <row r="205" spans="1:38" ht="15.75">
      <c r="A205" s="63" t="s">
        <v>130</v>
      </c>
      <c r="B205" s="63" t="s">
        <v>11</v>
      </c>
      <c r="C205" s="63" t="s">
        <v>2</v>
      </c>
      <c r="D205" s="85">
        <v>584.3</v>
      </c>
      <c r="E205" s="63">
        <v>9703.15</v>
      </c>
      <c r="F205" s="63">
        <v>0</v>
      </c>
      <c r="G205" s="63">
        <v>0</v>
      </c>
      <c r="H205" s="63">
        <v>9703.15</v>
      </c>
      <c r="I205" s="63">
        <v>6982.24</v>
      </c>
      <c r="J205" s="66">
        <f t="shared" si="34"/>
        <v>2594.292</v>
      </c>
      <c r="K205" s="66">
        <f t="shared" si="35"/>
        <v>8343.803999999998</v>
      </c>
      <c r="L205" s="66">
        <f t="shared" si="36"/>
        <v>8273.687999999998</v>
      </c>
      <c r="M205" s="66">
        <f t="shared" si="37"/>
        <v>1823.016</v>
      </c>
      <c r="N205" s="66">
        <f t="shared" si="38"/>
        <v>420.6959999999999</v>
      </c>
      <c r="O205" s="66">
        <f t="shared" si="39"/>
        <v>1285.46</v>
      </c>
      <c r="P205" s="66"/>
      <c r="Q205" s="63"/>
      <c r="R205" s="63"/>
      <c r="S205" s="66">
        <f>D205*0.55*8+D205*0.59</f>
        <v>2915.657</v>
      </c>
      <c r="T205" s="67">
        <f>SUM(J205:S205)</f>
        <v>25656.612999999994</v>
      </c>
      <c r="U205" s="67"/>
      <c r="V205" s="67">
        <f>D205*3*8+D205*3.56*4</f>
        <v>22343.631999999998</v>
      </c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>
        <v>0</v>
      </c>
      <c r="AI205" s="56">
        <v>0</v>
      </c>
      <c r="AJ205" s="56">
        <v>0</v>
      </c>
      <c r="AK205" s="56"/>
      <c r="AL205" s="67">
        <f t="shared" si="33"/>
        <v>0</v>
      </c>
    </row>
    <row r="206" spans="1:38" ht="15.75">
      <c r="A206" s="63" t="s">
        <v>130</v>
      </c>
      <c r="B206" s="63" t="s">
        <v>12</v>
      </c>
      <c r="C206" s="63" t="s">
        <v>2</v>
      </c>
      <c r="D206" s="83">
        <v>676.3</v>
      </c>
      <c r="E206" s="63">
        <v>35428</v>
      </c>
      <c r="F206" s="63">
        <v>0</v>
      </c>
      <c r="G206" s="63">
        <v>0</v>
      </c>
      <c r="H206" s="63">
        <v>35428</v>
      </c>
      <c r="I206" s="63">
        <v>35096.13</v>
      </c>
      <c r="J206" s="66">
        <f t="shared" si="34"/>
        <v>3002.772</v>
      </c>
      <c r="K206" s="66">
        <f t="shared" si="35"/>
        <v>9657.563999999998</v>
      </c>
      <c r="L206" s="66">
        <f t="shared" si="36"/>
        <v>9576.408</v>
      </c>
      <c r="M206" s="66">
        <f t="shared" si="37"/>
        <v>2110.056</v>
      </c>
      <c r="N206" s="66">
        <f t="shared" si="38"/>
        <v>486.9359999999999</v>
      </c>
      <c r="O206" s="66">
        <f t="shared" si="39"/>
        <v>1487.8599999999997</v>
      </c>
      <c r="P206" s="66">
        <v>924.48</v>
      </c>
      <c r="Q206" s="63"/>
      <c r="R206" s="63">
        <v>14925</v>
      </c>
      <c r="S206" s="66">
        <f>D206*0.55*8+D206*0.59</f>
        <v>3374.737</v>
      </c>
      <c r="T206" s="67">
        <f>SUM(J206:S206)</f>
        <v>45545.813</v>
      </c>
      <c r="U206" s="67"/>
      <c r="V206" s="67">
        <f>D206*3*8+D206*3.56*4</f>
        <v>25861.712</v>
      </c>
      <c r="W206" s="57">
        <v>17078</v>
      </c>
      <c r="X206" s="56">
        <v>10176</v>
      </c>
      <c r="Y206" s="56"/>
      <c r="Z206" s="56"/>
      <c r="AA206" s="56"/>
      <c r="AB206" s="56"/>
      <c r="AC206" s="56"/>
      <c r="AD206" s="56"/>
      <c r="AE206" s="56">
        <v>3181</v>
      </c>
      <c r="AF206" s="56"/>
      <c r="AG206" s="56"/>
      <c r="AH206" s="56">
        <v>1158</v>
      </c>
      <c r="AI206" s="56"/>
      <c r="AJ206" s="56"/>
      <c r="AK206" s="56"/>
      <c r="AL206" s="67">
        <f t="shared" si="33"/>
        <v>31593</v>
      </c>
    </row>
    <row r="207" spans="1:38" ht="15.75">
      <c r="A207" s="63" t="s">
        <v>130</v>
      </c>
      <c r="B207" s="63" t="s">
        <v>41</v>
      </c>
      <c r="C207" s="63" t="s">
        <v>2</v>
      </c>
      <c r="D207" s="83">
        <v>562.3</v>
      </c>
      <c r="E207" s="63">
        <v>36167.57</v>
      </c>
      <c r="F207" s="63">
        <v>0</v>
      </c>
      <c r="G207" s="63">
        <v>0</v>
      </c>
      <c r="H207" s="63">
        <v>36167.57</v>
      </c>
      <c r="I207" s="63">
        <v>30400.99</v>
      </c>
      <c r="J207" s="66">
        <f t="shared" si="34"/>
        <v>2496.6119999999996</v>
      </c>
      <c r="K207" s="66">
        <f t="shared" si="35"/>
        <v>8029.643999999999</v>
      </c>
      <c r="L207" s="66">
        <f t="shared" si="36"/>
        <v>7962.167999999999</v>
      </c>
      <c r="M207" s="66">
        <f t="shared" si="37"/>
        <v>1754.3759999999997</v>
      </c>
      <c r="N207" s="66">
        <f t="shared" si="38"/>
        <v>404.856</v>
      </c>
      <c r="O207" s="66">
        <f t="shared" si="39"/>
        <v>1237.06</v>
      </c>
      <c r="P207" s="66">
        <v>924.48</v>
      </c>
      <c r="Q207" s="63"/>
      <c r="R207" s="63">
        <v>12450</v>
      </c>
      <c r="S207" s="66">
        <f>D207*0.55*8+D207*0.59</f>
        <v>2805.877</v>
      </c>
      <c r="T207" s="67">
        <f>SUM(J207:S207)</f>
        <v>38065.073</v>
      </c>
      <c r="U207" s="67"/>
      <c r="V207" s="67">
        <f>D207*3*8+D207*3.56*4</f>
        <v>21502.352</v>
      </c>
      <c r="W207" s="57">
        <v>1486</v>
      </c>
      <c r="X207" s="56">
        <v>30466</v>
      </c>
      <c r="Y207" s="56"/>
      <c r="Z207" s="56"/>
      <c r="AA207" s="56"/>
      <c r="AB207" s="56">
        <v>1268</v>
      </c>
      <c r="AC207" s="56"/>
      <c r="AD207" s="56"/>
      <c r="AE207" s="56"/>
      <c r="AF207" s="56"/>
      <c r="AG207" s="56"/>
      <c r="AH207" s="56"/>
      <c r="AI207" s="56"/>
      <c r="AJ207" s="56"/>
      <c r="AK207" s="56"/>
      <c r="AL207" s="67">
        <f t="shared" si="33"/>
        <v>33220</v>
      </c>
    </row>
    <row r="208" spans="1:38" ht="15.75">
      <c r="A208" s="63" t="s">
        <v>131</v>
      </c>
      <c r="B208" s="63" t="s">
        <v>81</v>
      </c>
      <c r="C208" s="63" t="s">
        <v>2</v>
      </c>
      <c r="D208" s="83">
        <v>3323.1</v>
      </c>
      <c r="E208" s="63">
        <v>214441.93</v>
      </c>
      <c r="F208" s="63">
        <v>0</v>
      </c>
      <c r="G208" s="63">
        <v>0</v>
      </c>
      <c r="H208" s="63">
        <v>214441.93</v>
      </c>
      <c r="I208" s="63">
        <v>213982.27</v>
      </c>
      <c r="J208" s="66">
        <f t="shared" si="34"/>
        <v>14754.564</v>
      </c>
      <c r="K208" s="66">
        <f t="shared" si="35"/>
        <v>47453.867999999995</v>
      </c>
      <c r="L208" s="66">
        <f t="shared" si="36"/>
        <v>47055.096</v>
      </c>
      <c r="M208" s="66">
        <f t="shared" si="37"/>
        <v>10368.072</v>
      </c>
      <c r="N208" s="66">
        <f t="shared" si="38"/>
        <v>2392.632</v>
      </c>
      <c r="O208" s="66">
        <f t="shared" si="39"/>
        <v>7310.82</v>
      </c>
      <c r="P208" s="66">
        <v>981.92</v>
      </c>
      <c r="Q208" s="63">
        <v>11221.16</v>
      </c>
      <c r="R208" s="63"/>
      <c r="S208" s="66">
        <f>D208*0.55*8+D208*0.59</f>
        <v>16582.269</v>
      </c>
      <c r="T208" s="67">
        <f>SUM(J208:S208)</f>
        <v>158120.40099999998</v>
      </c>
      <c r="U208" s="67">
        <f>D208*1.34*8+D208*1.45*4</f>
        <v>54897.611999999994</v>
      </c>
      <c r="V208" s="67">
        <f>D208*3*8+D208*3.56*4</f>
        <v>127075.34399999998</v>
      </c>
      <c r="W208" s="57">
        <v>42485</v>
      </c>
      <c r="X208" s="56">
        <v>10176</v>
      </c>
      <c r="Y208" s="56"/>
      <c r="Z208" s="56"/>
      <c r="AA208" s="56"/>
      <c r="AB208" s="56">
        <v>18842</v>
      </c>
      <c r="AC208" s="56"/>
      <c r="AD208" s="56"/>
      <c r="AE208" s="56"/>
      <c r="AF208" s="56">
        <v>1616</v>
      </c>
      <c r="AG208" s="56"/>
      <c r="AH208" s="56">
        <v>216</v>
      </c>
      <c r="AI208" s="56"/>
      <c r="AJ208" s="56"/>
      <c r="AK208" s="56"/>
      <c r="AL208" s="67">
        <f t="shared" si="33"/>
        <v>73335</v>
      </c>
    </row>
    <row r="209" spans="1:38" ht="15.75">
      <c r="A209" s="68" t="s">
        <v>131</v>
      </c>
      <c r="B209" s="68" t="s">
        <v>132</v>
      </c>
      <c r="C209" s="63" t="s">
        <v>2</v>
      </c>
      <c r="D209" s="83">
        <v>95.1</v>
      </c>
      <c r="E209" s="63">
        <v>6643.64</v>
      </c>
      <c r="F209" s="63">
        <v>0</v>
      </c>
      <c r="G209" s="63">
        <v>0</v>
      </c>
      <c r="H209" s="63">
        <v>6643.64</v>
      </c>
      <c r="I209" s="63">
        <v>2423.12</v>
      </c>
      <c r="J209" s="66">
        <f t="shared" si="34"/>
        <v>422.24399999999997</v>
      </c>
      <c r="K209" s="66">
        <f t="shared" si="35"/>
        <v>1358.0279999999998</v>
      </c>
      <c r="L209" s="66">
        <f t="shared" si="36"/>
        <v>1346.616</v>
      </c>
      <c r="M209" s="66">
        <f t="shared" si="37"/>
        <v>296.712</v>
      </c>
      <c r="N209" s="66">
        <f t="shared" si="38"/>
        <v>68.472</v>
      </c>
      <c r="O209" s="66">
        <f t="shared" si="39"/>
        <v>209.21999999999997</v>
      </c>
      <c r="P209" s="66"/>
      <c r="Q209" s="63"/>
      <c r="R209" s="63">
        <v>4775</v>
      </c>
      <c r="S209" s="66">
        <f>D209*0.55*8+D209*0.59</f>
        <v>474.549</v>
      </c>
      <c r="T209" s="67">
        <f>SUM(J209:S209)</f>
        <v>8950.841</v>
      </c>
      <c r="U209" s="67"/>
      <c r="V209" s="67">
        <f>D209*3*8+D209*3.56*4</f>
        <v>3636.624</v>
      </c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67">
        <f t="shared" si="33"/>
        <v>0</v>
      </c>
    </row>
    <row r="210" spans="1:38" ht="15.75">
      <c r="A210" s="63" t="s">
        <v>133</v>
      </c>
      <c r="B210" s="63" t="s">
        <v>34</v>
      </c>
      <c r="C210" s="63" t="s">
        <v>2</v>
      </c>
      <c r="D210" s="83">
        <v>509.2</v>
      </c>
      <c r="E210" s="63">
        <v>30641.28</v>
      </c>
      <c r="F210" s="63">
        <v>0</v>
      </c>
      <c r="G210" s="63">
        <v>0</v>
      </c>
      <c r="H210" s="63">
        <v>30641.28</v>
      </c>
      <c r="I210" s="63">
        <v>26465.84</v>
      </c>
      <c r="J210" s="66">
        <f t="shared" si="34"/>
        <v>2260.848</v>
      </c>
      <c r="K210" s="66">
        <f t="shared" si="35"/>
        <v>7271.376</v>
      </c>
      <c r="L210" s="66">
        <f t="shared" si="36"/>
        <v>7210.272</v>
      </c>
      <c r="M210" s="66">
        <f t="shared" si="37"/>
        <v>1588.704</v>
      </c>
      <c r="N210" s="66">
        <f t="shared" si="38"/>
        <v>366.624</v>
      </c>
      <c r="O210" s="66">
        <f t="shared" si="39"/>
        <v>1120.24</v>
      </c>
      <c r="P210" s="66">
        <v>443.04</v>
      </c>
      <c r="Q210" s="63"/>
      <c r="R210" s="63"/>
      <c r="S210" s="66">
        <f>D210*0.55*8+D210*0.59</f>
        <v>2540.908</v>
      </c>
      <c r="T210" s="67">
        <f>SUM(J210:S210)</f>
        <v>22802.012000000002</v>
      </c>
      <c r="U210" s="67">
        <f>D210*1.34*8+D210*1.45*4</f>
        <v>8411.984</v>
      </c>
      <c r="V210" s="67">
        <f>D210*3*8+D210*3.56*4</f>
        <v>19471.807999999997</v>
      </c>
      <c r="W210" s="57"/>
      <c r="X210" s="56"/>
      <c r="Y210" s="56"/>
      <c r="Z210" s="56"/>
      <c r="AA210" s="56"/>
      <c r="AB210" s="56"/>
      <c r="AC210" s="56">
        <v>3081</v>
      </c>
      <c r="AD210" s="56"/>
      <c r="AE210" s="56">
        <v>21867</v>
      </c>
      <c r="AF210" s="56">
        <v>653</v>
      </c>
      <c r="AG210" s="56"/>
      <c r="AH210" s="56"/>
      <c r="AI210" s="56">
        <v>5330</v>
      </c>
      <c r="AJ210" s="56"/>
      <c r="AK210" s="56"/>
      <c r="AL210" s="67">
        <f t="shared" si="33"/>
        <v>30931</v>
      </c>
    </row>
    <row r="211" spans="1:38" ht="15.75">
      <c r="A211" s="63" t="s">
        <v>134</v>
      </c>
      <c r="B211" s="63" t="s">
        <v>1</v>
      </c>
      <c r="C211" s="63" t="s">
        <v>2</v>
      </c>
      <c r="D211" s="85">
        <v>538.9</v>
      </c>
      <c r="E211" s="63">
        <v>28421.04</v>
      </c>
      <c r="F211" s="63">
        <v>-10426.31</v>
      </c>
      <c r="G211" s="63">
        <v>0</v>
      </c>
      <c r="H211" s="63">
        <v>17994.73</v>
      </c>
      <c r="I211" s="63">
        <v>27824.93</v>
      </c>
      <c r="J211" s="66">
        <f t="shared" si="34"/>
        <v>2392.716</v>
      </c>
      <c r="K211" s="66">
        <f t="shared" si="35"/>
        <v>7695.491999999999</v>
      </c>
      <c r="L211" s="66">
        <f t="shared" si="36"/>
        <v>7630.823999999999</v>
      </c>
      <c r="M211" s="66">
        <f t="shared" si="37"/>
        <v>1681.368</v>
      </c>
      <c r="N211" s="66">
        <f t="shared" si="38"/>
        <v>388.0079999999999</v>
      </c>
      <c r="O211" s="66">
        <f t="shared" si="39"/>
        <v>1185.58</v>
      </c>
      <c r="P211" s="66">
        <v>462.24</v>
      </c>
      <c r="Q211" s="63">
        <v>1339.84</v>
      </c>
      <c r="R211" s="63"/>
      <c r="S211" s="66">
        <f>D211*0.55*8+D211*0.59</f>
        <v>2689.1110000000003</v>
      </c>
      <c r="T211" s="67">
        <f>SUM(J211:S211)</f>
        <v>25465.179</v>
      </c>
      <c r="U211" s="67"/>
      <c r="V211" s="67">
        <f>D211*3*8+D211*3.56*4</f>
        <v>20607.536</v>
      </c>
      <c r="W211" s="57">
        <v>7080</v>
      </c>
      <c r="X211" s="56">
        <v>10176</v>
      </c>
      <c r="Y211" s="56"/>
      <c r="Z211" s="56"/>
      <c r="AA211" s="56"/>
      <c r="AB211" s="56"/>
      <c r="AC211" s="56">
        <v>6136</v>
      </c>
      <c r="AD211" s="56"/>
      <c r="AE211" s="56"/>
      <c r="AF211" s="56"/>
      <c r="AG211" s="56"/>
      <c r="AH211" s="56"/>
      <c r="AI211" s="56">
        <v>3987</v>
      </c>
      <c r="AJ211" s="56"/>
      <c r="AK211" s="56"/>
      <c r="AL211" s="67">
        <f t="shared" si="33"/>
        <v>27379</v>
      </c>
    </row>
    <row r="212" spans="1:38" ht="15.75">
      <c r="A212" s="63" t="s">
        <v>134</v>
      </c>
      <c r="B212" s="63" t="s">
        <v>87</v>
      </c>
      <c r="C212" s="63" t="s">
        <v>2</v>
      </c>
      <c r="D212" s="83">
        <v>2561.4</v>
      </c>
      <c r="E212" s="63">
        <v>146626.24</v>
      </c>
      <c r="F212" s="63">
        <v>0</v>
      </c>
      <c r="G212" s="63">
        <v>0</v>
      </c>
      <c r="H212" s="63">
        <v>146626.24</v>
      </c>
      <c r="I212" s="63">
        <v>147264.11</v>
      </c>
      <c r="J212" s="66">
        <f t="shared" si="34"/>
        <v>11372.616</v>
      </c>
      <c r="K212" s="66">
        <f t="shared" si="35"/>
        <v>36576.792</v>
      </c>
      <c r="L212" s="66">
        <f t="shared" si="36"/>
        <v>36269.424</v>
      </c>
      <c r="M212" s="66">
        <f t="shared" si="37"/>
        <v>7991.568000000001</v>
      </c>
      <c r="N212" s="66">
        <f t="shared" si="38"/>
        <v>1844.208</v>
      </c>
      <c r="O212" s="66">
        <f t="shared" si="39"/>
        <v>5635.08</v>
      </c>
      <c r="P212" s="66">
        <v>1420.2</v>
      </c>
      <c r="Q212" s="63"/>
      <c r="R212" s="63"/>
      <c r="S212" s="66">
        <f>D212*0.55*8+D212*0.59</f>
        <v>12781.386000000002</v>
      </c>
      <c r="T212" s="67">
        <f>SUM(J212:S212)</f>
        <v>113891.27399999999</v>
      </c>
      <c r="U212" s="67">
        <f>D212*1.34*8+D212*1.45*4</f>
        <v>42314.328</v>
      </c>
      <c r="V212" s="67">
        <f>D212*3*8+D212*3.56*4</f>
        <v>97947.93600000002</v>
      </c>
      <c r="W212" s="57">
        <v>18710</v>
      </c>
      <c r="X212" s="56">
        <v>4307</v>
      </c>
      <c r="Y212" s="56"/>
      <c r="Z212" s="56">
        <v>538</v>
      </c>
      <c r="AA212" s="56"/>
      <c r="AB212" s="56">
        <v>1077</v>
      </c>
      <c r="AC212" s="56">
        <v>2553</v>
      </c>
      <c r="AD212" s="56"/>
      <c r="AE212" s="56">
        <v>26240</v>
      </c>
      <c r="AF212" s="56">
        <v>1218</v>
      </c>
      <c r="AG212" s="56"/>
      <c r="AH212" s="56"/>
      <c r="AI212" s="56"/>
      <c r="AJ212" s="56"/>
      <c r="AK212" s="56"/>
      <c r="AL212" s="67">
        <f t="shared" si="33"/>
        <v>54643</v>
      </c>
    </row>
    <row r="213" spans="1:38" ht="15.75">
      <c r="A213" s="63" t="s">
        <v>134</v>
      </c>
      <c r="B213" s="63" t="s">
        <v>71</v>
      </c>
      <c r="C213" s="63" t="s">
        <v>2</v>
      </c>
      <c r="D213" s="83">
        <v>2543.2</v>
      </c>
      <c r="E213" s="63">
        <v>144713.89</v>
      </c>
      <c r="F213" s="63">
        <v>0</v>
      </c>
      <c r="G213" s="63">
        <v>0</v>
      </c>
      <c r="H213" s="63">
        <v>144713.89</v>
      </c>
      <c r="I213" s="63">
        <v>128581.18</v>
      </c>
      <c r="J213" s="66">
        <f t="shared" si="34"/>
        <v>11291.807999999999</v>
      </c>
      <c r="K213" s="66">
        <f t="shared" si="35"/>
        <v>36316.89599999999</v>
      </c>
      <c r="L213" s="66">
        <f t="shared" si="36"/>
        <v>36011.712</v>
      </c>
      <c r="M213" s="66">
        <f t="shared" si="37"/>
        <v>7934.784</v>
      </c>
      <c r="N213" s="66">
        <f t="shared" si="38"/>
        <v>1831.1039999999998</v>
      </c>
      <c r="O213" s="66">
        <f t="shared" si="39"/>
        <v>5595.039999999999</v>
      </c>
      <c r="P213" s="66">
        <v>1420.2</v>
      </c>
      <c r="Q213" s="66">
        <v>10048.8</v>
      </c>
      <c r="R213" s="63"/>
      <c r="S213" s="66">
        <f>D213*0.55*8+D213*0.59</f>
        <v>12690.568</v>
      </c>
      <c r="T213" s="67">
        <f>SUM(J213:S213)</f>
        <v>123140.912</v>
      </c>
      <c r="U213" s="67">
        <f>D213*1.34*8+D213*1.45*4</f>
        <v>42013.664</v>
      </c>
      <c r="V213" s="67">
        <f>D213*3*8+D213*3.56*4</f>
        <v>97251.968</v>
      </c>
      <c r="W213" s="57">
        <v>58088</v>
      </c>
      <c r="X213" s="56"/>
      <c r="Y213" s="56"/>
      <c r="Z213" s="56">
        <v>1256</v>
      </c>
      <c r="AA213" s="56">
        <v>297091</v>
      </c>
      <c r="AB213" s="56"/>
      <c r="AC213" s="56"/>
      <c r="AD213" s="56"/>
      <c r="AE213" s="56"/>
      <c r="AF213" s="56"/>
      <c r="AG213" s="56">
        <v>86</v>
      </c>
      <c r="AH213" s="56">
        <v>3497</v>
      </c>
      <c r="AI213" s="56"/>
      <c r="AJ213" s="56">
        <v>11667</v>
      </c>
      <c r="AK213" s="56"/>
      <c r="AL213" s="67">
        <f t="shared" si="33"/>
        <v>371685</v>
      </c>
    </row>
    <row r="214" spans="1:38" ht="15.75">
      <c r="A214" s="63" t="s">
        <v>134</v>
      </c>
      <c r="B214" s="63" t="s">
        <v>72</v>
      </c>
      <c r="C214" s="63" t="s">
        <v>2</v>
      </c>
      <c r="D214" s="83">
        <v>529.2</v>
      </c>
      <c r="E214" s="63">
        <v>30442.72</v>
      </c>
      <c r="F214" s="63">
        <v>0</v>
      </c>
      <c r="G214" s="63">
        <v>0</v>
      </c>
      <c r="H214" s="63">
        <v>30442.72</v>
      </c>
      <c r="I214" s="63">
        <v>29006.13</v>
      </c>
      <c r="J214" s="66">
        <f t="shared" si="34"/>
        <v>2349.648</v>
      </c>
      <c r="K214" s="66">
        <f t="shared" si="35"/>
        <v>7556.976000000001</v>
      </c>
      <c r="L214" s="66">
        <f t="shared" si="36"/>
        <v>7493.472</v>
      </c>
      <c r="M214" s="66">
        <f t="shared" si="37"/>
        <v>1651.1040000000003</v>
      </c>
      <c r="N214" s="66">
        <f t="shared" si="38"/>
        <v>381.024</v>
      </c>
      <c r="O214" s="66">
        <f t="shared" si="39"/>
        <v>1164.24</v>
      </c>
      <c r="P214" s="66">
        <v>462.24</v>
      </c>
      <c r="Q214" s="63"/>
      <c r="R214" s="63"/>
      <c r="S214" s="66">
        <f>D214*0.55*8+D214*0.59</f>
        <v>2640.7080000000005</v>
      </c>
      <c r="T214" s="67">
        <f>SUM(J214:S214)</f>
        <v>23699.412000000004</v>
      </c>
      <c r="U214" s="67"/>
      <c r="V214" s="67">
        <f>D214*3*8+D214*3.56*4</f>
        <v>20236.608</v>
      </c>
      <c r="W214" s="57">
        <v>4458</v>
      </c>
      <c r="X214" s="56">
        <v>2806</v>
      </c>
      <c r="Y214" s="56"/>
      <c r="Z214" s="56">
        <v>628</v>
      </c>
      <c r="AA214" s="56">
        <v>2500</v>
      </c>
      <c r="AB214" s="56">
        <v>7291</v>
      </c>
      <c r="AC214" s="56">
        <v>3081</v>
      </c>
      <c r="AD214" s="56"/>
      <c r="AE214" s="56"/>
      <c r="AF214" s="56"/>
      <c r="AG214" s="56">
        <v>86</v>
      </c>
      <c r="AH214" s="56"/>
      <c r="AI214" s="56"/>
      <c r="AJ214" s="56"/>
      <c r="AK214" s="56"/>
      <c r="AL214" s="67">
        <f t="shared" si="33"/>
        <v>20850</v>
      </c>
    </row>
    <row r="215" spans="1:38" ht="15.75">
      <c r="A215" s="63" t="s">
        <v>134</v>
      </c>
      <c r="B215" s="63" t="s">
        <v>128</v>
      </c>
      <c r="C215" s="63" t="s">
        <v>2</v>
      </c>
      <c r="D215" s="83">
        <v>2391.3</v>
      </c>
      <c r="E215" s="63">
        <v>40176.24</v>
      </c>
      <c r="F215" s="63">
        <v>0</v>
      </c>
      <c r="G215" s="63">
        <v>0</v>
      </c>
      <c r="H215" s="63">
        <v>40176.24</v>
      </c>
      <c r="I215" s="63">
        <v>40540.3</v>
      </c>
      <c r="J215" s="66">
        <f t="shared" si="34"/>
        <v>10617.372000000001</v>
      </c>
      <c r="K215" s="66">
        <f t="shared" si="35"/>
        <v>34147.763999999996</v>
      </c>
      <c r="L215" s="66">
        <f t="shared" si="36"/>
        <v>33860.808</v>
      </c>
      <c r="M215" s="66">
        <f t="shared" si="37"/>
        <v>7460.856000000001</v>
      </c>
      <c r="N215" s="66">
        <f t="shared" si="38"/>
        <v>1721.736</v>
      </c>
      <c r="O215" s="66">
        <f t="shared" si="39"/>
        <v>5260.860000000001</v>
      </c>
      <c r="P215" s="66">
        <v>1325.52</v>
      </c>
      <c r="Q215" s="63">
        <v>9378.88</v>
      </c>
      <c r="R215" s="63"/>
      <c r="S215" s="66">
        <f>D215*0.55*8+D215*0.59</f>
        <v>11932.587000000001</v>
      </c>
      <c r="T215" s="67">
        <f>SUM(J215:S215)</f>
        <v>115706.383</v>
      </c>
      <c r="U215" s="67">
        <f>D215*1.34*8+D215*1.45*4</f>
        <v>39504.276000000005</v>
      </c>
      <c r="V215" s="67">
        <f>D215*3*8+D215*3.56*4</f>
        <v>91443.312</v>
      </c>
      <c r="W215" s="57">
        <v>29168</v>
      </c>
      <c r="X215" s="56">
        <v>2806</v>
      </c>
      <c r="Y215" s="56"/>
      <c r="Z215" s="56">
        <v>896</v>
      </c>
      <c r="AA215" s="56"/>
      <c r="AB215" s="56"/>
      <c r="AC215" s="56"/>
      <c r="AD215" s="56"/>
      <c r="AE215" s="56"/>
      <c r="AF215" s="56">
        <v>1218</v>
      </c>
      <c r="AG215" s="56"/>
      <c r="AH215" s="56">
        <v>2379</v>
      </c>
      <c r="AI215" s="56"/>
      <c r="AJ215" s="56"/>
      <c r="AK215" s="56"/>
      <c r="AL215" s="67">
        <f t="shared" si="33"/>
        <v>36467</v>
      </c>
    </row>
    <row r="216" spans="1:38" ht="15.75">
      <c r="A216" s="63" t="s">
        <v>134</v>
      </c>
      <c r="B216" s="63" t="s">
        <v>44</v>
      </c>
      <c r="C216" s="63" t="s">
        <v>2</v>
      </c>
      <c r="D216" s="83">
        <v>2271.4</v>
      </c>
      <c r="E216" s="63">
        <v>130514.12</v>
      </c>
      <c r="F216" s="63">
        <v>0</v>
      </c>
      <c r="G216" s="63">
        <v>0</v>
      </c>
      <c r="H216" s="63">
        <v>130514.12</v>
      </c>
      <c r="I216" s="63">
        <v>123034.68</v>
      </c>
      <c r="J216" s="66">
        <f t="shared" si="34"/>
        <v>10085.016</v>
      </c>
      <c r="K216" s="66">
        <f t="shared" si="35"/>
        <v>32435.591999999997</v>
      </c>
      <c r="L216" s="66">
        <f t="shared" si="36"/>
        <v>32163.023999999998</v>
      </c>
      <c r="M216" s="66">
        <f t="shared" si="37"/>
        <v>7086.768000000001</v>
      </c>
      <c r="N216" s="66">
        <f t="shared" si="38"/>
        <v>1635.408</v>
      </c>
      <c r="O216" s="66">
        <f t="shared" si="39"/>
        <v>4997.08</v>
      </c>
      <c r="P216" s="66">
        <v>1643.52</v>
      </c>
      <c r="Q216" s="63">
        <v>5526.84</v>
      </c>
      <c r="R216" s="63"/>
      <c r="S216" s="66">
        <f>D216*0.55*8+D216*0.59</f>
        <v>11334.286000000002</v>
      </c>
      <c r="T216" s="67">
        <f>SUM(J216:S216)</f>
        <v>106907.53399999999</v>
      </c>
      <c r="U216" s="67">
        <f>D216*1.34*8+D216*1.45*4</f>
        <v>37523.528000000006</v>
      </c>
      <c r="V216" s="67">
        <f>D216*3*8+D216*3.56*4</f>
        <v>86858.33600000001</v>
      </c>
      <c r="W216" s="57">
        <v>33551</v>
      </c>
      <c r="X216" s="56"/>
      <c r="Y216" s="56"/>
      <c r="Z216" s="56">
        <v>9525</v>
      </c>
      <c r="AA216" s="56"/>
      <c r="AB216" s="56">
        <v>16671</v>
      </c>
      <c r="AC216" s="56"/>
      <c r="AD216" s="56"/>
      <c r="AE216" s="56">
        <v>14200</v>
      </c>
      <c r="AF216" s="56">
        <v>1944</v>
      </c>
      <c r="AG216" s="56"/>
      <c r="AH216" s="56"/>
      <c r="AI216" s="56"/>
      <c r="AJ216" s="56"/>
      <c r="AK216" s="56"/>
      <c r="AL216" s="67">
        <f t="shared" si="33"/>
        <v>75891</v>
      </c>
    </row>
    <row r="217" spans="1:38" ht="15.75">
      <c r="A217" s="63" t="s">
        <v>134</v>
      </c>
      <c r="B217" s="63" t="s">
        <v>65</v>
      </c>
      <c r="C217" s="63" t="s">
        <v>2</v>
      </c>
      <c r="D217" s="83">
        <v>2891.4</v>
      </c>
      <c r="E217" s="63">
        <v>165393.55</v>
      </c>
      <c r="F217" s="63">
        <v>0</v>
      </c>
      <c r="G217" s="63">
        <v>5237.6</v>
      </c>
      <c r="H217" s="63">
        <v>160155.95</v>
      </c>
      <c r="I217" s="63">
        <v>141325.15</v>
      </c>
      <c r="J217" s="66">
        <f t="shared" si="34"/>
        <v>12837.816</v>
      </c>
      <c r="K217" s="66">
        <f t="shared" si="35"/>
        <v>41289.192</v>
      </c>
      <c r="L217" s="66">
        <f t="shared" si="36"/>
        <v>40942.224</v>
      </c>
      <c r="M217" s="66">
        <f t="shared" si="37"/>
        <v>9021.168</v>
      </c>
      <c r="N217" s="66">
        <f t="shared" si="38"/>
        <v>2081.808</v>
      </c>
      <c r="O217" s="66">
        <f t="shared" si="39"/>
        <v>6361.08</v>
      </c>
      <c r="P217" s="66">
        <v>1643.52</v>
      </c>
      <c r="Q217" s="63">
        <v>5359.36</v>
      </c>
      <c r="R217" s="63"/>
      <c r="S217" s="66">
        <f>D217*0.55*8+D217*0.59</f>
        <v>14428.086000000001</v>
      </c>
      <c r="T217" s="67">
        <f>SUM(J217:S217)</f>
        <v>133964.25400000002</v>
      </c>
      <c r="U217" s="67">
        <f>D217*1.34*8+D217*1.45*4</f>
        <v>47765.928</v>
      </c>
      <c r="V217" s="67">
        <f>D217*3*8+D217*3.56*4</f>
        <v>110567.136</v>
      </c>
      <c r="W217" s="57"/>
      <c r="X217" s="56"/>
      <c r="Y217" s="56"/>
      <c r="Z217" s="56"/>
      <c r="AA217" s="56">
        <v>1889</v>
      </c>
      <c r="AB217" s="56">
        <v>48119</v>
      </c>
      <c r="AC217" s="56">
        <v>4711</v>
      </c>
      <c r="AD217" s="56"/>
      <c r="AE217" s="56">
        <v>57320</v>
      </c>
      <c r="AF217" s="56">
        <v>18568</v>
      </c>
      <c r="AG217" s="56"/>
      <c r="AH217" s="56">
        <v>7588</v>
      </c>
      <c r="AI217" s="56"/>
      <c r="AJ217" s="56"/>
      <c r="AK217" s="56"/>
      <c r="AL217" s="67">
        <f t="shared" si="33"/>
        <v>138195</v>
      </c>
    </row>
    <row r="218" spans="1:38" ht="15.75">
      <c r="A218" s="63" t="s">
        <v>134</v>
      </c>
      <c r="B218" s="63" t="s">
        <v>67</v>
      </c>
      <c r="C218" s="63" t="s">
        <v>2</v>
      </c>
      <c r="D218" s="83">
        <v>2037.3</v>
      </c>
      <c r="E218" s="63">
        <v>132136.68</v>
      </c>
      <c r="F218" s="63">
        <v>-192.19</v>
      </c>
      <c r="G218" s="63">
        <v>0</v>
      </c>
      <c r="H218" s="63">
        <v>131944.49</v>
      </c>
      <c r="I218" s="63">
        <v>123287.55</v>
      </c>
      <c r="J218" s="66">
        <f t="shared" si="34"/>
        <v>9045.612000000001</v>
      </c>
      <c r="K218" s="66">
        <f t="shared" si="35"/>
        <v>29092.643999999997</v>
      </c>
      <c r="L218" s="66">
        <f t="shared" si="36"/>
        <v>28848.167999999998</v>
      </c>
      <c r="M218" s="66">
        <f t="shared" si="37"/>
        <v>6356.376</v>
      </c>
      <c r="N218" s="66">
        <f t="shared" si="38"/>
        <v>1466.856</v>
      </c>
      <c r="O218" s="66">
        <f t="shared" si="39"/>
        <v>4482.0599999999995</v>
      </c>
      <c r="P218" s="66">
        <v>2465.28</v>
      </c>
      <c r="Q218" s="63">
        <v>8039.04</v>
      </c>
      <c r="R218" s="63"/>
      <c r="S218" s="66">
        <f>D218*0.55*8+D218*0.59</f>
        <v>10166.127</v>
      </c>
      <c r="T218" s="67">
        <f>SUM(J218:S218)</f>
        <v>99962.163</v>
      </c>
      <c r="U218" s="67">
        <f>D218*1.34*8+D218*1.45*4</f>
        <v>33656.195999999996</v>
      </c>
      <c r="V218" s="67">
        <f>D218*3*8+D218*3.56*4</f>
        <v>77906.352</v>
      </c>
      <c r="W218" s="57"/>
      <c r="X218" s="56">
        <v>4209</v>
      </c>
      <c r="Y218" s="56"/>
      <c r="Z218" s="56"/>
      <c r="AA218" s="56"/>
      <c r="AB218" s="56">
        <v>22502</v>
      </c>
      <c r="AC218" s="56"/>
      <c r="AD218" s="56"/>
      <c r="AE218" s="56"/>
      <c r="AF218" s="56">
        <v>10516</v>
      </c>
      <c r="AG218" s="56">
        <v>13399</v>
      </c>
      <c r="AH218" s="56">
        <v>11431</v>
      </c>
      <c r="AI218" s="56"/>
      <c r="AJ218" s="56"/>
      <c r="AK218" s="56"/>
      <c r="AL218" s="67">
        <f t="shared" si="33"/>
        <v>62057</v>
      </c>
    </row>
    <row r="219" spans="1:38" ht="15.75">
      <c r="A219" s="63" t="s">
        <v>134</v>
      </c>
      <c r="B219" s="63" t="s">
        <v>69</v>
      </c>
      <c r="C219" s="63" t="s">
        <v>2</v>
      </c>
      <c r="D219" s="83">
        <v>2037.5</v>
      </c>
      <c r="E219" s="63">
        <v>117946.68</v>
      </c>
      <c r="F219" s="63">
        <v>0</v>
      </c>
      <c r="G219" s="63">
        <v>1016</v>
      </c>
      <c r="H219" s="63">
        <v>116930.68</v>
      </c>
      <c r="I219" s="63">
        <v>117224.24</v>
      </c>
      <c r="J219" s="66">
        <f>D219*8*0.36+D219*0.39*4</f>
        <v>9046.5</v>
      </c>
      <c r="K219" s="66">
        <f>D219*1.19*12</f>
        <v>29095.5</v>
      </c>
      <c r="L219" s="66">
        <f>D219*1.18*12</f>
        <v>28851</v>
      </c>
      <c r="M219" s="66">
        <f>D219*0.26*12</f>
        <v>6357</v>
      </c>
      <c r="N219" s="66">
        <f>D219*0.06*12</f>
        <v>1467</v>
      </c>
      <c r="O219" s="66">
        <f>D219*0.18*8+D219*0.19*4</f>
        <v>4482.5</v>
      </c>
      <c r="P219" s="66">
        <v>2465.28</v>
      </c>
      <c r="Q219" s="63">
        <v>8039.04</v>
      </c>
      <c r="R219" s="63">
        <v>24675</v>
      </c>
      <c r="S219" s="66">
        <f>D219*0.55*8+D219*0.59</f>
        <v>10167.125</v>
      </c>
      <c r="T219" s="67">
        <f>SUM(J219:S219)</f>
        <v>124645.94499999999</v>
      </c>
      <c r="U219" s="67">
        <f>D219*1.34*8+D219*1.45*4</f>
        <v>33659.5</v>
      </c>
      <c r="V219" s="67">
        <f>D219*3*8+D219*3.56*4</f>
        <v>77914</v>
      </c>
      <c r="W219" s="57"/>
      <c r="X219" s="56">
        <v>4209</v>
      </c>
      <c r="Y219" s="56"/>
      <c r="Z219" s="56"/>
      <c r="AA219" s="56">
        <v>161380</v>
      </c>
      <c r="AB219" s="56"/>
      <c r="AC219" s="56"/>
      <c r="AD219" s="56"/>
      <c r="AE219" s="56"/>
      <c r="AF219" s="56"/>
      <c r="AG219" s="56"/>
      <c r="AH219" s="56">
        <v>3932</v>
      </c>
      <c r="AI219" s="56"/>
      <c r="AJ219" s="56">
        <v>5904</v>
      </c>
      <c r="AK219" s="56"/>
      <c r="AL219" s="67">
        <f t="shared" si="33"/>
        <v>175425</v>
      </c>
    </row>
    <row r="220" spans="1:38" ht="15.75">
      <c r="A220" s="63" t="s">
        <v>136</v>
      </c>
      <c r="B220" s="63" t="s">
        <v>1</v>
      </c>
      <c r="C220" s="63" t="s">
        <v>2</v>
      </c>
      <c r="D220" s="83">
        <v>2766.2</v>
      </c>
      <c r="E220" s="63">
        <v>165014.48</v>
      </c>
      <c r="F220" s="63">
        <v>0</v>
      </c>
      <c r="G220" s="63">
        <v>1270</v>
      </c>
      <c r="H220" s="63">
        <v>163744.48</v>
      </c>
      <c r="I220" s="63">
        <v>164883.92</v>
      </c>
      <c r="J220" s="66">
        <f t="shared" si="34"/>
        <v>12281.928</v>
      </c>
      <c r="K220" s="66">
        <f t="shared" si="35"/>
        <v>39501.335999999996</v>
      </c>
      <c r="L220" s="66">
        <f t="shared" si="36"/>
        <v>39169.39199999999</v>
      </c>
      <c r="M220" s="66">
        <f t="shared" si="37"/>
        <v>8630.544</v>
      </c>
      <c r="N220" s="66">
        <f t="shared" si="38"/>
        <v>1991.6639999999998</v>
      </c>
      <c r="O220" s="66">
        <f t="shared" si="39"/>
        <v>6085.639999999999</v>
      </c>
      <c r="P220" s="66">
        <v>1420.2</v>
      </c>
      <c r="Q220" s="63"/>
      <c r="R220" s="63"/>
      <c r="S220" s="66">
        <f>D220*0.55*8+D220*0.59</f>
        <v>13803.338</v>
      </c>
      <c r="T220" s="67">
        <f>SUM(J220:S220)</f>
        <v>122884.04199999999</v>
      </c>
      <c r="U220" s="67">
        <f>D220*1.34*8+D220*1.45*4</f>
        <v>45697.623999999996</v>
      </c>
      <c r="V220" s="67">
        <f>D220*3*8+D220*3.56*4</f>
        <v>105779.48799999998</v>
      </c>
      <c r="W220" s="57"/>
      <c r="X220" s="56"/>
      <c r="Y220" s="56"/>
      <c r="Z220" s="56"/>
      <c r="AA220" s="56"/>
      <c r="AB220" s="56">
        <v>811</v>
      </c>
      <c r="AC220" s="56"/>
      <c r="AD220" s="56"/>
      <c r="AE220" s="56"/>
      <c r="AF220" s="56"/>
      <c r="AG220" s="56"/>
      <c r="AH220" s="56">
        <v>2348</v>
      </c>
      <c r="AI220" s="56"/>
      <c r="AJ220" s="56"/>
      <c r="AK220" s="56"/>
      <c r="AL220" s="67">
        <f t="shared" si="33"/>
        <v>3159</v>
      </c>
    </row>
    <row r="221" spans="1:38" ht="15.75">
      <c r="A221" s="63" t="s">
        <v>136</v>
      </c>
      <c r="B221" s="63" t="s">
        <v>71</v>
      </c>
      <c r="C221" s="63" t="s">
        <v>2</v>
      </c>
      <c r="D221" s="83">
        <v>5812.5</v>
      </c>
      <c r="E221" s="63">
        <v>343277.44</v>
      </c>
      <c r="F221" s="63">
        <v>-9320.61</v>
      </c>
      <c r="G221" s="63">
        <v>3448.66</v>
      </c>
      <c r="H221" s="63">
        <v>330508.17</v>
      </c>
      <c r="I221" s="63">
        <v>326874.49</v>
      </c>
      <c r="J221" s="66">
        <f t="shared" si="34"/>
        <v>25807.5</v>
      </c>
      <c r="K221" s="66">
        <f t="shared" si="35"/>
        <v>83002.5</v>
      </c>
      <c r="L221" s="66">
        <f t="shared" si="36"/>
        <v>82305</v>
      </c>
      <c r="M221" s="66">
        <f t="shared" si="37"/>
        <v>18135</v>
      </c>
      <c r="N221" s="66">
        <f t="shared" si="38"/>
        <v>4185</v>
      </c>
      <c r="O221" s="66">
        <f t="shared" si="39"/>
        <v>12787.5</v>
      </c>
      <c r="P221" s="66">
        <v>2816.73</v>
      </c>
      <c r="Q221" s="63"/>
      <c r="R221" s="63"/>
      <c r="S221" s="66">
        <f>D221*0.55*8+D221*0.59</f>
        <v>29004.375000000004</v>
      </c>
      <c r="T221" s="67">
        <f>SUM(J221:S221)</f>
        <v>258043.605</v>
      </c>
      <c r="U221" s="67">
        <f>D221*1.34*8+D221*1.45*4</f>
        <v>96022.5</v>
      </c>
      <c r="V221" s="67">
        <f>D221*3*8+D221*3.56*4</f>
        <v>222270</v>
      </c>
      <c r="W221" s="57">
        <v>63989</v>
      </c>
      <c r="X221" s="56"/>
      <c r="Y221" s="56">
        <v>79617</v>
      </c>
      <c r="Z221" s="56"/>
      <c r="AA221" s="56"/>
      <c r="AB221" s="56">
        <v>11133</v>
      </c>
      <c r="AC221" s="56">
        <v>1914</v>
      </c>
      <c r="AD221" s="56"/>
      <c r="AE221" s="56"/>
      <c r="AF221" s="56">
        <v>1944</v>
      </c>
      <c r="AG221" s="56"/>
      <c r="AH221" s="56">
        <v>33169</v>
      </c>
      <c r="AI221" s="56"/>
      <c r="AJ221" s="56"/>
      <c r="AK221" s="56"/>
      <c r="AL221" s="67">
        <f t="shared" si="33"/>
        <v>191766</v>
      </c>
    </row>
    <row r="222" spans="1:38" ht="15.75">
      <c r="A222" s="63" t="s">
        <v>136</v>
      </c>
      <c r="B222" s="63" t="s">
        <v>72</v>
      </c>
      <c r="C222" s="63" t="s">
        <v>2</v>
      </c>
      <c r="D222" s="83">
        <v>2717.5</v>
      </c>
      <c r="E222" s="63">
        <v>160428.04</v>
      </c>
      <c r="F222" s="63">
        <v>0</v>
      </c>
      <c r="G222" s="63">
        <v>0</v>
      </c>
      <c r="H222" s="63">
        <v>160428.04</v>
      </c>
      <c r="I222" s="63">
        <v>158160.05</v>
      </c>
      <c r="J222" s="66">
        <f t="shared" si="34"/>
        <v>12065.7</v>
      </c>
      <c r="K222" s="66">
        <f t="shared" si="35"/>
        <v>38805.899999999994</v>
      </c>
      <c r="L222" s="66">
        <f t="shared" si="36"/>
        <v>38479.799999999996</v>
      </c>
      <c r="M222" s="66">
        <f t="shared" si="37"/>
        <v>8478.6</v>
      </c>
      <c r="N222" s="66">
        <f t="shared" si="38"/>
        <v>1956.6</v>
      </c>
      <c r="O222" s="66">
        <f t="shared" si="39"/>
        <v>5978.5</v>
      </c>
      <c r="P222" s="66">
        <v>1420.2</v>
      </c>
      <c r="Q222" s="66">
        <v>10048.8</v>
      </c>
      <c r="R222" s="63"/>
      <c r="S222" s="66">
        <f>D222*0.55*8+D222*0.59</f>
        <v>13560.325</v>
      </c>
      <c r="T222" s="67">
        <f>SUM(J222:S222)</f>
        <v>130794.425</v>
      </c>
      <c r="U222" s="67">
        <f>D222*1.34*8+D222*1.45*4</f>
        <v>44893.100000000006</v>
      </c>
      <c r="V222" s="67">
        <f>D222*3*8+D222*3.56*4</f>
        <v>103917.2</v>
      </c>
      <c r="W222" s="57">
        <v>57392</v>
      </c>
      <c r="X222" s="56"/>
      <c r="Y222" s="56"/>
      <c r="Z222" s="56"/>
      <c r="AA222" s="56"/>
      <c r="AB222" s="56">
        <v>4058</v>
      </c>
      <c r="AC222" s="56"/>
      <c r="AD222" s="56"/>
      <c r="AE222" s="56"/>
      <c r="AF222" s="56">
        <v>1616</v>
      </c>
      <c r="AG222" s="56"/>
      <c r="AH222" s="56">
        <v>10514</v>
      </c>
      <c r="AI222" s="56"/>
      <c r="AJ222" s="56"/>
      <c r="AK222" s="56"/>
      <c r="AL222" s="67">
        <f t="shared" si="33"/>
        <v>73580</v>
      </c>
    </row>
    <row r="223" spans="1:38" ht="15.75">
      <c r="A223" s="63" t="s">
        <v>136</v>
      </c>
      <c r="B223" s="63" t="s">
        <v>65</v>
      </c>
      <c r="C223" s="63" t="s">
        <v>2</v>
      </c>
      <c r="D223" s="83">
        <v>5704</v>
      </c>
      <c r="E223" s="63">
        <v>342282.79</v>
      </c>
      <c r="F223" s="63">
        <v>-561.3</v>
      </c>
      <c r="G223" s="63">
        <v>0</v>
      </c>
      <c r="H223" s="63">
        <v>341721.49</v>
      </c>
      <c r="I223" s="63">
        <v>327996.05</v>
      </c>
      <c r="J223" s="66">
        <f t="shared" si="34"/>
        <v>25325.760000000002</v>
      </c>
      <c r="K223" s="66">
        <f t="shared" si="35"/>
        <v>81453.12</v>
      </c>
      <c r="L223" s="66">
        <f t="shared" si="36"/>
        <v>80768.63999999998</v>
      </c>
      <c r="M223" s="66">
        <f t="shared" si="37"/>
        <v>17796.48</v>
      </c>
      <c r="N223" s="66">
        <f t="shared" si="38"/>
        <v>4106.88</v>
      </c>
      <c r="O223" s="66">
        <f t="shared" si="39"/>
        <v>12548.8</v>
      </c>
      <c r="P223" s="66">
        <v>2793.06</v>
      </c>
      <c r="Q223" s="63">
        <v>19930.12</v>
      </c>
      <c r="R223" s="63"/>
      <c r="S223" s="66">
        <f>D223*0.55*8+D223*0.59</f>
        <v>28462.960000000003</v>
      </c>
      <c r="T223" s="67">
        <f>SUM(J223:S223)</f>
        <v>273185.82</v>
      </c>
      <c r="U223" s="67">
        <f>D223*1.34*8+D223*1.45*4</f>
        <v>94230.08</v>
      </c>
      <c r="V223" s="67">
        <f>D223*3*8+D223*3.56*4</f>
        <v>218120.96000000002</v>
      </c>
      <c r="W223" s="57">
        <v>19520</v>
      </c>
      <c r="X223" s="56">
        <v>2514</v>
      </c>
      <c r="Y223" s="56"/>
      <c r="Z223" s="56">
        <v>4863</v>
      </c>
      <c r="AA223" s="56"/>
      <c r="AB223" s="56">
        <v>21722</v>
      </c>
      <c r="AC223" s="56">
        <v>3191</v>
      </c>
      <c r="AD223" s="56"/>
      <c r="AE223" s="56">
        <v>500</v>
      </c>
      <c r="AF223" s="56">
        <v>1616</v>
      </c>
      <c r="AG223" s="56"/>
      <c r="AH223" s="56">
        <v>8873</v>
      </c>
      <c r="AI223" s="56">
        <v>2332</v>
      </c>
      <c r="AJ223" s="56"/>
      <c r="AK223" s="56"/>
      <c r="AL223" s="67">
        <f t="shared" si="33"/>
        <v>65131</v>
      </c>
    </row>
    <row r="224" spans="1:38" ht="15.75">
      <c r="A224" s="63" t="s">
        <v>136</v>
      </c>
      <c r="B224" s="63" t="s">
        <v>129</v>
      </c>
      <c r="C224" s="63" t="s">
        <v>2</v>
      </c>
      <c r="D224" s="83">
        <v>3447.4</v>
      </c>
      <c r="E224" s="63">
        <v>223235.92</v>
      </c>
      <c r="F224" s="63">
        <v>-3501.6</v>
      </c>
      <c r="G224" s="63">
        <v>0</v>
      </c>
      <c r="H224" s="63">
        <v>219734.32</v>
      </c>
      <c r="I224" s="63">
        <v>211081.65</v>
      </c>
      <c r="J224" s="66">
        <f t="shared" si="34"/>
        <v>15306.456000000002</v>
      </c>
      <c r="K224" s="66">
        <f t="shared" si="35"/>
        <v>49228.872</v>
      </c>
      <c r="L224" s="66">
        <f t="shared" si="36"/>
        <v>48815.183999999994</v>
      </c>
      <c r="M224" s="66">
        <f t="shared" si="37"/>
        <v>10755.888</v>
      </c>
      <c r="N224" s="66">
        <f t="shared" si="38"/>
        <v>2482.1279999999997</v>
      </c>
      <c r="O224" s="66">
        <f t="shared" si="39"/>
        <v>7584.280000000001</v>
      </c>
      <c r="P224" s="66">
        <v>1083</v>
      </c>
      <c r="Q224" s="63">
        <v>12561</v>
      </c>
      <c r="R224" s="63"/>
      <c r="S224" s="66">
        <f>D224*0.55*8+D224*0.59</f>
        <v>17202.526</v>
      </c>
      <c r="T224" s="67">
        <f>SUM(J224:S224)</f>
        <v>165019.33400000003</v>
      </c>
      <c r="U224" s="67">
        <f>D224*1.34*8+D224*1.45*4</f>
        <v>56951.048</v>
      </c>
      <c r="V224" s="67">
        <f>D224*3*8+D224*3.56*4</f>
        <v>131828.576</v>
      </c>
      <c r="W224" s="57">
        <v>69182</v>
      </c>
      <c r="X224" s="56"/>
      <c r="Y224" s="56">
        <v>102754</v>
      </c>
      <c r="Z224" s="56"/>
      <c r="AA224" s="56"/>
      <c r="AB224" s="56">
        <v>21934</v>
      </c>
      <c r="AC224" s="56"/>
      <c r="AD224" s="56"/>
      <c r="AE224" s="56"/>
      <c r="AF224" s="56">
        <v>5839</v>
      </c>
      <c r="AG224" s="56"/>
      <c r="AH224" s="56">
        <v>8873</v>
      </c>
      <c r="AI224" s="56"/>
      <c r="AJ224" s="56">
        <v>4862</v>
      </c>
      <c r="AK224" s="56"/>
      <c r="AL224" s="67">
        <f t="shared" si="33"/>
        <v>213444</v>
      </c>
    </row>
    <row r="225" spans="1:38" ht="15.75">
      <c r="A225" s="68" t="s">
        <v>137</v>
      </c>
      <c r="B225" s="63" t="s">
        <v>67</v>
      </c>
      <c r="C225" s="63" t="s">
        <v>2</v>
      </c>
      <c r="D225" s="83">
        <v>646.6</v>
      </c>
      <c r="E225" s="63">
        <v>39933.12</v>
      </c>
      <c r="F225" s="63">
        <v>0</v>
      </c>
      <c r="G225" s="63">
        <v>0</v>
      </c>
      <c r="H225" s="63">
        <v>39933.12</v>
      </c>
      <c r="I225" s="63">
        <v>29416.33</v>
      </c>
      <c r="J225" s="66">
        <f>D225*8*0.36+D225*0.39*4</f>
        <v>2870.904</v>
      </c>
      <c r="K225" s="66">
        <f>D225*1.19*12</f>
        <v>9233.448</v>
      </c>
      <c r="L225" s="66">
        <f>D225*1.18*12</f>
        <v>9155.856</v>
      </c>
      <c r="M225" s="66">
        <f>D225*0.26*12</f>
        <v>2017.3920000000003</v>
      </c>
      <c r="N225" s="66">
        <f>D225*0.06*12</f>
        <v>465.552</v>
      </c>
      <c r="O225" s="66">
        <f>D225*0.18*8+D225*0.19*4</f>
        <v>1422.52</v>
      </c>
      <c r="P225" s="66">
        <v>231.04</v>
      </c>
      <c r="Q225" s="63">
        <v>2679.68</v>
      </c>
      <c r="R225" s="63">
        <v>16875</v>
      </c>
      <c r="S225" s="66">
        <f>D225*0.55*8+D225*0.59</f>
        <v>3226.5340000000006</v>
      </c>
      <c r="T225" s="67">
        <f>SUM(J225:S225)</f>
        <v>48177.926</v>
      </c>
      <c r="U225" s="67"/>
      <c r="V225" s="67">
        <f>D225*3*8+D225*3.56*4</f>
        <v>24725.984000000004</v>
      </c>
      <c r="W225" s="57">
        <v>4978</v>
      </c>
      <c r="X225" s="56"/>
      <c r="Y225" s="56"/>
      <c r="Z225" s="56"/>
      <c r="AA225" s="56"/>
      <c r="AB225" s="56"/>
      <c r="AC225" s="56"/>
      <c r="AD225" s="56"/>
      <c r="AE225" s="56">
        <v>104961</v>
      </c>
      <c r="AF225" s="56"/>
      <c r="AG225" s="56"/>
      <c r="AH225" s="56"/>
      <c r="AI225" s="56"/>
      <c r="AJ225" s="56"/>
      <c r="AK225" s="56"/>
      <c r="AL225" s="67">
        <f t="shared" si="33"/>
        <v>109939</v>
      </c>
    </row>
    <row r="226" spans="1:38" ht="15.75">
      <c r="A226" s="68" t="s">
        <v>137</v>
      </c>
      <c r="B226" s="68" t="s">
        <v>69</v>
      </c>
      <c r="C226" s="63" t="s">
        <v>2</v>
      </c>
      <c r="D226" s="85">
        <v>770.4</v>
      </c>
      <c r="E226" s="63">
        <v>3409.25</v>
      </c>
      <c r="F226" s="63">
        <v>0</v>
      </c>
      <c r="G226" s="63">
        <v>0</v>
      </c>
      <c r="H226" s="63">
        <v>3409.25</v>
      </c>
      <c r="I226" s="63">
        <v>0</v>
      </c>
      <c r="J226" s="66">
        <f t="shared" si="34"/>
        <v>3420.576</v>
      </c>
      <c r="K226" s="66">
        <f t="shared" si="35"/>
        <v>11001.312</v>
      </c>
      <c r="L226" s="66">
        <f t="shared" si="36"/>
        <v>10908.863999999998</v>
      </c>
      <c r="M226" s="66">
        <f t="shared" si="37"/>
        <v>2403.648</v>
      </c>
      <c r="N226" s="66">
        <f t="shared" si="38"/>
        <v>554.688</v>
      </c>
      <c r="O226" s="66">
        <f t="shared" si="39"/>
        <v>1694.88</v>
      </c>
      <c r="P226" s="66"/>
      <c r="Q226" s="63"/>
      <c r="R226" s="63"/>
      <c r="S226" s="66">
        <f>D226*0.55*8+D226*0.59</f>
        <v>3844.2960000000003</v>
      </c>
      <c r="T226" s="67">
        <f>SUM(J226:S226)</f>
        <v>33828.263999999996</v>
      </c>
      <c r="U226" s="67"/>
      <c r="V226" s="67">
        <f>D226*3*8+D226*3.56*4</f>
        <v>29460.095999999998</v>
      </c>
      <c r="W226" s="57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67">
        <f t="shared" si="33"/>
        <v>0</v>
      </c>
    </row>
    <row r="227" spans="1:38" ht="15.75">
      <c r="A227" s="63" t="s">
        <v>137</v>
      </c>
      <c r="B227" s="63" t="s">
        <v>37</v>
      </c>
      <c r="C227" s="63" t="s">
        <v>2</v>
      </c>
      <c r="D227" s="83">
        <v>3239.9</v>
      </c>
      <c r="E227" s="63">
        <v>193749.16</v>
      </c>
      <c r="F227" s="63">
        <v>0</v>
      </c>
      <c r="G227" s="63">
        <v>0</v>
      </c>
      <c r="H227" s="63">
        <v>193749.16</v>
      </c>
      <c r="I227" s="63">
        <v>184406.9</v>
      </c>
      <c r="J227" s="66">
        <f t="shared" si="34"/>
        <v>14385.156</v>
      </c>
      <c r="K227" s="66">
        <f t="shared" si="35"/>
        <v>46265.772</v>
      </c>
      <c r="L227" s="66">
        <f t="shared" si="36"/>
        <v>45876.984</v>
      </c>
      <c r="M227" s="66">
        <f t="shared" si="37"/>
        <v>10108.488000000001</v>
      </c>
      <c r="N227" s="66">
        <f t="shared" si="38"/>
        <v>2332.728</v>
      </c>
      <c r="O227" s="66">
        <f t="shared" si="39"/>
        <v>7127.780000000001</v>
      </c>
      <c r="P227" s="66">
        <v>866.4</v>
      </c>
      <c r="Q227" s="66">
        <v>10048.8</v>
      </c>
      <c r="R227" s="63"/>
      <c r="S227" s="66">
        <f>D227*0.55*8+D227*0.59</f>
        <v>16167.101</v>
      </c>
      <c r="T227" s="67">
        <f>SUM(J227:S227)</f>
        <v>153179.20899999997</v>
      </c>
      <c r="U227" s="67">
        <f>D227*1.34*8+D227*1.45*4</f>
        <v>53523.148</v>
      </c>
      <c r="V227" s="67">
        <f>D227*3*8+D227*3.56*4</f>
        <v>123893.77600000001</v>
      </c>
      <c r="W227" s="57">
        <v>5100</v>
      </c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>
        <v>366</v>
      </c>
      <c r="AI227" s="56"/>
      <c r="AJ227" s="56"/>
      <c r="AK227" s="56"/>
      <c r="AL227" s="67">
        <f t="shared" si="33"/>
        <v>5466</v>
      </c>
    </row>
    <row r="228" spans="1:38" ht="15.75">
      <c r="A228" s="68" t="s">
        <v>137</v>
      </c>
      <c r="B228" s="68" t="s">
        <v>81</v>
      </c>
      <c r="C228" s="63" t="s">
        <v>2</v>
      </c>
      <c r="D228" s="84">
        <v>117.5</v>
      </c>
      <c r="E228" s="63">
        <v>3187.76</v>
      </c>
      <c r="F228" s="63">
        <v>0</v>
      </c>
      <c r="G228" s="63">
        <v>0</v>
      </c>
      <c r="H228" s="63">
        <v>3187.76</v>
      </c>
      <c r="I228" s="63">
        <v>0</v>
      </c>
      <c r="J228" s="66">
        <f t="shared" si="34"/>
        <v>521.7</v>
      </c>
      <c r="K228" s="66">
        <f t="shared" si="35"/>
        <v>1677.8999999999999</v>
      </c>
      <c r="L228" s="66">
        <f t="shared" si="36"/>
        <v>1663.8000000000002</v>
      </c>
      <c r="M228" s="66">
        <f t="shared" si="37"/>
        <v>366.6</v>
      </c>
      <c r="N228" s="66">
        <f t="shared" si="38"/>
        <v>84.6</v>
      </c>
      <c r="O228" s="66">
        <f t="shared" si="39"/>
        <v>258.5</v>
      </c>
      <c r="P228" s="66"/>
      <c r="Q228" s="63"/>
      <c r="R228" s="63"/>
      <c r="S228" s="66">
        <f>D228*0.55*8+D228*0.59</f>
        <v>586.325</v>
      </c>
      <c r="T228" s="67">
        <f>SUM(J228:S228)</f>
        <v>5159.425</v>
      </c>
      <c r="U228" s="67"/>
      <c r="V228" s="67">
        <f>D228*3*8+D228*3.56*4</f>
        <v>4493.2</v>
      </c>
      <c r="W228" s="57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67">
        <f t="shared" si="33"/>
        <v>0</v>
      </c>
    </row>
    <row r="229" spans="1:38" ht="15.75">
      <c r="A229" s="63" t="s">
        <v>138</v>
      </c>
      <c r="B229" s="63" t="s">
        <v>72</v>
      </c>
      <c r="C229" s="63" t="s">
        <v>66</v>
      </c>
      <c r="D229" s="83">
        <v>2978.7</v>
      </c>
      <c r="E229" s="63">
        <v>174361.88</v>
      </c>
      <c r="F229" s="63">
        <v>0</v>
      </c>
      <c r="G229" s="63">
        <v>0</v>
      </c>
      <c r="H229" s="63">
        <v>174361.88</v>
      </c>
      <c r="I229" s="63">
        <v>175862.03</v>
      </c>
      <c r="J229" s="66">
        <f aca="true" t="shared" si="40" ref="J229:J234">D229*8*0.36+D229*0.39*4</f>
        <v>13225.428</v>
      </c>
      <c r="K229" s="66">
        <f aca="true" t="shared" si="41" ref="K229:K234">D229*1.19*12</f>
        <v>42535.835999999996</v>
      </c>
      <c r="L229" s="66">
        <f aca="true" t="shared" si="42" ref="L229:L234">D229*1.18*12</f>
        <v>42178.39199999999</v>
      </c>
      <c r="M229" s="66">
        <f aca="true" t="shared" si="43" ref="M229:M234">D229*0.26*12</f>
        <v>9293.544</v>
      </c>
      <c r="N229" s="66">
        <f aca="true" t="shared" si="44" ref="N229:N234">D229*0.06*12</f>
        <v>2144.6639999999998</v>
      </c>
      <c r="O229" s="66">
        <f aca="true" t="shared" si="45" ref="O229:O234">D229*0.18*8+D229*0.19*4</f>
        <v>6553.139999999999</v>
      </c>
      <c r="P229" s="66">
        <v>2465.28</v>
      </c>
      <c r="Q229" s="63">
        <v>8039.04</v>
      </c>
      <c r="R229" s="63"/>
      <c r="S229" s="66">
        <f>D229*0.55*8+D229*0.59</f>
        <v>14863.713</v>
      </c>
      <c r="T229" s="67">
        <f>SUM(J229:S229)</f>
        <v>141299.03699999998</v>
      </c>
      <c r="U229" s="67">
        <f>D229*1.34*8+D229*1.45*4</f>
        <v>49208.123999999996</v>
      </c>
      <c r="V229" s="67">
        <f>D229*3*8+D229*3.56*4</f>
        <v>113905.48799999998</v>
      </c>
      <c r="W229" s="57">
        <v>3414</v>
      </c>
      <c r="X229" s="56"/>
      <c r="Y229" s="56"/>
      <c r="Z229" s="56">
        <v>935</v>
      </c>
      <c r="AA229" s="56"/>
      <c r="AB229" s="56"/>
      <c r="AC229" s="56"/>
      <c r="AD229" s="56"/>
      <c r="AE229" s="56"/>
      <c r="AF229" s="56">
        <v>14958</v>
      </c>
      <c r="AG229" s="56"/>
      <c r="AH229" s="56"/>
      <c r="AI229" s="56"/>
      <c r="AJ229" s="56"/>
      <c r="AK229" s="56"/>
      <c r="AL229" s="67">
        <f t="shared" si="33"/>
        <v>19307</v>
      </c>
    </row>
    <row r="230" spans="1:38" ht="15.75">
      <c r="A230" s="63" t="s">
        <v>138</v>
      </c>
      <c r="B230" s="63" t="s">
        <v>72</v>
      </c>
      <c r="C230" s="63" t="s">
        <v>111</v>
      </c>
      <c r="D230" s="83">
        <v>4452.4</v>
      </c>
      <c r="E230" s="63">
        <v>259955.44</v>
      </c>
      <c r="F230" s="63">
        <v>0</v>
      </c>
      <c r="G230" s="63">
        <v>0</v>
      </c>
      <c r="H230" s="63">
        <v>259955.44</v>
      </c>
      <c r="I230" s="63">
        <v>252186.82</v>
      </c>
      <c r="J230" s="66">
        <f t="shared" si="40"/>
        <v>19768.656</v>
      </c>
      <c r="K230" s="66">
        <f t="shared" si="41"/>
        <v>63580.272</v>
      </c>
      <c r="L230" s="66">
        <f t="shared" si="42"/>
        <v>63045.984</v>
      </c>
      <c r="M230" s="66">
        <f t="shared" si="43"/>
        <v>13891.488000000001</v>
      </c>
      <c r="N230" s="66">
        <f t="shared" si="44"/>
        <v>3205.727999999999</v>
      </c>
      <c r="O230" s="66">
        <f t="shared" si="45"/>
        <v>9795.279999999999</v>
      </c>
      <c r="P230" s="66">
        <v>2465.28</v>
      </c>
      <c r="Q230" s="63">
        <v>15073.2</v>
      </c>
      <c r="R230" s="63"/>
      <c r="S230" s="66">
        <f>D230*0.55*8+D230*0.59</f>
        <v>22217.476000000002</v>
      </c>
      <c r="T230" s="67">
        <f>SUM(J230:S230)</f>
        <v>213043.36400000003</v>
      </c>
      <c r="U230" s="67">
        <f>D230*1.34*8+D230*1.45*4</f>
        <v>73553.64799999999</v>
      </c>
      <c r="V230" s="67">
        <f>D230*3*8+D230*3.56*4</f>
        <v>170259.77599999998</v>
      </c>
      <c r="W230" s="57">
        <v>17179</v>
      </c>
      <c r="X230" s="56"/>
      <c r="Y230" s="56">
        <v>56185</v>
      </c>
      <c r="Z230" s="56"/>
      <c r="AA230" s="56"/>
      <c r="AB230" s="56"/>
      <c r="AC230" s="56"/>
      <c r="AD230" s="56"/>
      <c r="AE230" s="56"/>
      <c r="AF230" s="56"/>
      <c r="AG230" s="56"/>
      <c r="AH230" s="56">
        <v>917</v>
      </c>
      <c r="AI230" s="56"/>
      <c r="AJ230" s="56">
        <v>12323</v>
      </c>
      <c r="AK230" s="56"/>
      <c r="AL230" s="67">
        <f t="shared" si="33"/>
        <v>86604</v>
      </c>
    </row>
    <row r="231" spans="1:38" ht="15.75">
      <c r="A231" s="63" t="s">
        <v>138</v>
      </c>
      <c r="B231" s="63" t="s">
        <v>72</v>
      </c>
      <c r="C231" s="63" t="s">
        <v>114</v>
      </c>
      <c r="D231" s="83">
        <v>4396.9</v>
      </c>
      <c r="E231" s="63">
        <v>259753.16</v>
      </c>
      <c r="F231" s="63">
        <v>0</v>
      </c>
      <c r="G231" s="63">
        <v>0</v>
      </c>
      <c r="H231" s="63">
        <v>259753.16</v>
      </c>
      <c r="I231" s="63">
        <v>239054.55</v>
      </c>
      <c r="J231" s="66">
        <f t="shared" si="40"/>
        <v>19522.235999999997</v>
      </c>
      <c r="K231" s="66">
        <f t="shared" si="41"/>
        <v>62787.731999999996</v>
      </c>
      <c r="L231" s="66">
        <f t="shared" si="42"/>
        <v>62260.10399999999</v>
      </c>
      <c r="M231" s="66">
        <f t="shared" si="43"/>
        <v>13718.328</v>
      </c>
      <c r="N231" s="66">
        <f t="shared" si="44"/>
        <v>3165.7679999999996</v>
      </c>
      <c r="O231" s="66">
        <f t="shared" si="45"/>
        <v>9673.179999999998</v>
      </c>
      <c r="P231" s="66">
        <v>2465.28</v>
      </c>
      <c r="Q231" s="63">
        <v>15073.2</v>
      </c>
      <c r="R231" s="63"/>
      <c r="S231" s="66">
        <f>D231*0.55*8+D231*0.59</f>
        <v>21940.531</v>
      </c>
      <c r="T231" s="67">
        <f>SUM(J231:S231)</f>
        <v>210606.359</v>
      </c>
      <c r="U231" s="67">
        <f>D231*1.34*8+D231*1.45*4</f>
        <v>72636.788</v>
      </c>
      <c r="V231" s="67">
        <f>D231*3*8+D231*3.56*4</f>
        <v>168137.45599999998</v>
      </c>
      <c r="W231" s="57">
        <v>5764</v>
      </c>
      <c r="X231" s="56">
        <v>5028</v>
      </c>
      <c r="Y231" s="56">
        <v>11824</v>
      </c>
      <c r="Z231" s="56">
        <v>3195</v>
      </c>
      <c r="AA231" s="56"/>
      <c r="AB231" s="56"/>
      <c r="AC231" s="56"/>
      <c r="AD231" s="56"/>
      <c r="AE231" s="56"/>
      <c r="AF231" s="56"/>
      <c r="AG231" s="56">
        <v>1595</v>
      </c>
      <c r="AH231" s="56">
        <v>3966</v>
      </c>
      <c r="AI231" s="56"/>
      <c r="AJ231" s="56"/>
      <c r="AK231" s="56"/>
      <c r="AL231" s="67">
        <f t="shared" si="33"/>
        <v>31372</v>
      </c>
    </row>
    <row r="232" spans="1:38" ht="15.75">
      <c r="A232" s="63" t="s">
        <v>138</v>
      </c>
      <c r="B232" s="63" t="s">
        <v>3</v>
      </c>
      <c r="C232" s="63" t="s">
        <v>66</v>
      </c>
      <c r="D232" s="83">
        <v>6373.9</v>
      </c>
      <c r="E232" s="63">
        <v>363766.9</v>
      </c>
      <c r="F232" s="63">
        <v>0</v>
      </c>
      <c r="G232" s="63">
        <v>0</v>
      </c>
      <c r="H232" s="63">
        <v>363766.9</v>
      </c>
      <c r="I232" s="63">
        <v>353332.49</v>
      </c>
      <c r="J232" s="66">
        <f t="shared" si="40"/>
        <v>28300.115999999998</v>
      </c>
      <c r="K232" s="66">
        <f t="shared" si="41"/>
        <v>91019.29199999999</v>
      </c>
      <c r="L232" s="66">
        <f t="shared" si="42"/>
        <v>90254.424</v>
      </c>
      <c r="M232" s="66">
        <f t="shared" si="43"/>
        <v>19886.568</v>
      </c>
      <c r="N232" s="66">
        <f t="shared" si="44"/>
        <v>4589.208</v>
      </c>
      <c r="O232" s="66">
        <f t="shared" si="45"/>
        <v>14022.579999999998</v>
      </c>
      <c r="P232" s="66">
        <v>3053.43</v>
      </c>
      <c r="Q232" s="63">
        <v>21437.44</v>
      </c>
      <c r="R232" s="63"/>
      <c r="S232" s="66">
        <f>D232*0.55*8+D232*0.59</f>
        <v>31805.761</v>
      </c>
      <c r="T232" s="67">
        <f>SUM(J232:S232)</f>
        <v>304368.81899999996</v>
      </c>
      <c r="U232" s="67">
        <f>D232*1.34*8+D232*1.45*4</f>
        <v>105296.828</v>
      </c>
      <c r="V232" s="67">
        <f>D232*3*8+D232*3.56*4</f>
        <v>243737.936</v>
      </c>
      <c r="W232" s="57"/>
      <c r="X232" s="56"/>
      <c r="Y232" s="56"/>
      <c r="Z232" s="56">
        <v>6869</v>
      </c>
      <c r="AA232" s="56">
        <v>37838</v>
      </c>
      <c r="AB232" s="56"/>
      <c r="AC232" s="56"/>
      <c r="AD232" s="56"/>
      <c r="AE232" s="56"/>
      <c r="AF232" s="56">
        <v>17915</v>
      </c>
      <c r="AG232" s="56"/>
      <c r="AH232" s="56">
        <v>45236</v>
      </c>
      <c r="AI232" s="56"/>
      <c r="AJ232" s="56">
        <v>15286</v>
      </c>
      <c r="AK232" s="56"/>
      <c r="AL232" s="67">
        <f t="shared" si="33"/>
        <v>123144</v>
      </c>
    </row>
    <row r="233" spans="1:38" ht="15.75">
      <c r="A233" s="63" t="s">
        <v>138</v>
      </c>
      <c r="B233" s="63" t="s">
        <v>3</v>
      </c>
      <c r="C233" s="63" t="s">
        <v>111</v>
      </c>
      <c r="D233" s="83">
        <v>2661.5</v>
      </c>
      <c r="E233" s="63">
        <v>160590.58</v>
      </c>
      <c r="F233" s="63">
        <v>0</v>
      </c>
      <c r="G233" s="63">
        <v>0</v>
      </c>
      <c r="H233" s="63">
        <v>160590.58</v>
      </c>
      <c r="I233" s="63">
        <v>147874.66</v>
      </c>
      <c r="J233" s="66">
        <f t="shared" si="40"/>
        <v>11817.060000000001</v>
      </c>
      <c r="K233" s="66">
        <f t="shared" si="41"/>
        <v>38006.22</v>
      </c>
      <c r="L233" s="66">
        <f t="shared" si="42"/>
        <v>37686.84</v>
      </c>
      <c r="M233" s="66">
        <f t="shared" si="43"/>
        <v>8303.880000000001</v>
      </c>
      <c r="N233" s="66">
        <f t="shared" si="44"/>
        <v>1916.28</v>
      </c>
      <c r="O233" s="66">
        <f t="shared" si="45"/>
        <v>5855.3</v>
      </c>
      <c r="P233" s="66">
        <v>1420.2</v>
      </c>
      <c r="Q233" s="63"/>
      <c r="R233" s="63"/>
      <c r="S233" s="66">
        <f>D233*0.55*8+D233*0.59</f>
        <v>13280.885</v>
      </c>
      <c r="T233" s="67">
        <f>SUM(J233:S233)</f>
        <v>118286.665</v>
      </c>
      <c r="U233" s="67">
        <f>D233*1.34*8+D233*1.45*4</f>
        <v>43967.98</v>
      </c>
      <c r="V233" s="67">
        <f>D233*3*8+D233*3.56*4</f>
        <v>101775.76000000001</v>
      </c>
      <c r="W233" s="57">
        <v>590</v>
      </c>
      <c r="X233" s="56"/>
      <c r="Y233" s="56">
        <v>8160</v>
      </c>
      <c r="Z233" s="58">
        <v>2311</v>
      </c>
      <c r="AA233" s="56">
        <v>1239</v>
      </c>
      <c r="AB233" s="56">
        <v>16941</v>
      </c>
      <c r="AC233" s="56"/>
      <c r="AD233" s="56"/>
      <c r="AE233" s="56"/>
      <c r="AF233" s="56">
        <v>1616</v>
      </c>
      <c r="AG233" s="56"/>
      <c r="AH233" s="56"/>
      <c r="AI233" s="56"/>
      <c r="AJ233" s="56"/>
      <c r="AK233" s="56"/>
      <c r="AL233" s="67">
        <f t="shared" si="33"/>
        <v>30857</v>
      </c>
    </row>
    <row r="234" spans="1:38" ht="15.75">
      <c r="A234" s="63" t="s">
        <v>138</v>
      </c>
      <c r="B234" s="63" t="s">
        <v>3</v>
      </c>
      <c r="C234" s="63" t="s">
        <v>139</v>
      </c>
      <c r="D234" s="83">
        <v>4534.7</v>
      </c>
      <c r="E234" s="63">
        <v>281671</v>
      </c>
      <c r="F234" s="63">
        <v>0</v>
      </c>
      <c r="G234" s="63">
        <v>1305.5</v>
      </c>
      <c r="H234" s="63">
        <v>280365.5</v>
      </c>
      <c r="I234" s="63">
        <v>272055.68</v>
      </c>
      <c r="J234" s="66">
        <f t="shared" si="40"/>
        <v>20134.068</v>
      </c>
      <c r="K234" s="66">
        <f t="shared" si="41"/>
        <v>64755.515999999996</v>
      </c>
      <c r="L234" s="66">
        <f t="shared" si="42"/>
        <v>64211.352</v>
      </c>
      <c r="M234" s="66">
        <f t="shared" si="43"/>
        <v>14148.264</v>
      </c>
      <c r="N234" s="66">
        <f t="shared" si="44"/>
        <v>3264.984</v>
      </c>
      <c r="O234" s="66">
        <f t="shared" si="45"/>
        <v>9976.34</v>
      </c>
      <c r="P234" s="66">
        <v>2130.3</v>
      </c>
      <c r="Q234" s="63">
        <v>15073.2</v>
      </c>
      <c r="R234" s="63"/>
      <c r="S234" s="66">
        <f>D234*0.55*8+D234*0.59</f>
        <v>22628.153</v>
      </c>
      <c r="T234" s="67">
        <f>SUM(J234:S234)</f>
        <v>216322.17699999997</v>
      </c>
      <c r="U234" s="67">
        <f>D234*1.34*8+D234*1.45*4</f>
        <v>74913.244</v>
      </c>
      <c r="V234" s="67">
        <f>D234*3*8+D234*3.56*4</f>
        <v>173406.92799999999</v>
      </c>
      <c r="W234" s="57">
        <v>1444</v>
      </c>
      <c r="X234" s="56"/>
      <c r="Y234" s="56">
        <v>8160</v>
      </c>
      <c r="Z234" s="56">
        <v>2311</v>
      </c>
      <c r="AA234" s="56"/>
      <c r="AB234" s="56">
        <v>2855</v>
      </c>
      <c r="AC234" s="56"/>
      <c r="AD234" s="56"/>
      <c r="AE234" s="56"/>
      <c r="AF234" s="56">
        <v>653</v>
      </c>
      <c r="AG234" s="56">
        <v>4186</v>
      </c>
      <c r="AH234" s="56">
        <v>17714</v>
      </c>
      <c r="AI234" s="56"/>
      <c r="AJ234" s="56"/>
      <c r="AK234" s="56"/>
      <c r="AL234" s="67">
        <f t="shared" si="33"/>
        <v>37323</v>
      </c>
    </row>
    <row r="235" spans="1:38" ht="15.75">
      <c r="A235" s="63" t="s">
        <v>138</v>
      </c>
      <c r="B235" s="63" t="s">
        <v>70</v>
      </c>
      <c r="C235" s="63" t="s">
        <v>66</v>
      </c>
      <c r="D235" s="83">
        <v>17755</v>
      </c>
      <c r="E235" s="63">
        <v>1044479.88</v>
      </c>
      <c r="F235" s="63">
        <v>-27.61</v>
      </c>
      <c r="G235" s="63">
        <v>0</v>
      </c>
      <c r="H235" s="63">
        <v>1044452.27</v>
      </c>
      <c r="I235" s="63">
        <v>1020428.98</v>
      </c>
      <c r="J235" s="66">
        <f t="shared" si="34"/>
        <v>78832.2</v>
      </c>
      <c r="K235" s="66">
        <f t="shared" si="35"/>
        <v>253541.40000000002</v>
      </c>
      <c r="L235" s="66">
        <f t="shared" si="36"/>
        <v>251410.8</v>
      </c>
      <c r="M235" s="66">
        <f t="shared" si="37"/>
        <v>55395.600000000006</v>
      </c>
      <c r="N235" s="66">
        <f t="shared" si="38"/>
        <v>12783.599999999999</v>
      </c>
      <c r="O235" s="66">
        <f t="shared" si="39"/>
        <v>39061</v>
      </c>
      <c r="P235" s="66">
        <v>5169.52</v>
      </c>
      <c r="Q235" s="63"/>
      <c r="R235" s="63"/>
      <c r="S235" s="66">
        <f>D235*0.55*8+D235*0.59</f>
        <v>88597.45</v>
      </c>
      <c r="T235" s="67">
        <f>SUM(J235:S235)</f>
        <v>784791.57</v>
      </c>
      <c r="U235" s="67">
        <f>D235*1.34*8+D235*1.45*4</f>
        <v>293312.6</v>
      </c>
      <c r="V235" s="67">
        <f>D235*3*8+D235*3.56*4</f>
        <v>678951.2</v>
      </c>
      <c r="W235" s="57">
        <v>14756</v>
      </c>
      <c r="X235" s="56"/>
      <c r="Y235" s="56">
        <v>43553</v>
      </c>
      <c r="Z235" s="56">
        <v>63253</v>
      </c>
      <c r="AA235" s="56">
        <v>1457273</v>
      </c>
      <c r="AB235" s="56">
        <v>5879</v>
      </c>
      <c r="AC235" s="56"/>
      <c r="AD235" s="56"/>
      <c r="AE235" s="56"/>
      <c r="AF235" s="56">
        <v>17605</v>
      </c>
      <c r="AG235" s="56">
        <v>23673</v>
      </c>
      <c r="AH235" s="56">
        <v>14576</v>
      </c>
      <c r="AI235" s="56"/>
      <c r="AJ235" s="56">
        <v>24439</v>
      </c>
      <c r="AK235" s="56"/>
      <c r="AL235" s="67">
        <f t="shared" si="33"/>
        <v>1665007</v>
      </c>
    </row>
    <row r="236" spans="1:38" ht="15.75">
      <c r="A236" s="63" t="s">
        <v>138</v>
      </c>
      <c r="B236" s="63" t="s">
        <v>70</v>
      </c>
      <c r="C236" s="63" t="s">
        <v>111</v>
      </c>
      <c r="D236" s="83">
        <v>2140.7</v>
      </c>
      <c r="E236" s="63">
        <v>124747.04</v>
      </c>
      <c r="F236" s="63">
        <v>0</v>
      </c>
      <c r="G236" s="63">
        <v>0</v>
      </c>
      <c r="H236" s="63">
        <v>124747.04</v>
      </c>
      <c r="I236" s="63">
        <v>126810.01</v>
      </c>
      <c r="J236" s="66">
        <f t="shared" si="34"/>
        <v>9504.707999999999</v>
      </c>
      <c r="K236" s="66">
        <f t="shared" si="35"/>
        <v>30569.195999999996</v>
      </c>
      <c r="L236" s="66">
        <f t="shared" si="36"/>
        <v>30312.311999999998</v>
      </c>
      <c r="M236" s="66">
        <f t="shared" si="37"/>
        <v>6678.984</v>
      </c>
      <c r="N236" s="66">
        <f t="shared" si="38"/>
        <v>1541.3039999999996</v>
      </c>
      <c r="O236" s="66">
        <f t="shared" si="39"/>
        <v>4709.539999999999</v>
      </c>
      <c r="P236" s="66">
        <v>519.84</v>
      </c>
      <c r="Q236" s="63"/>
      <c r="R236" s="63"/>
      <c r="S236" s="66">
        <f>D236*0.55*8+D236*0.59</f>
        <v>10682.093</v>
      </c>
      <c r="T236" s="67">
        <f>SUM(J236:S236)</f>
        <v>94517.97699999998</v>
      </c>
      <c r="U236" s="67">
        <f>D236*1.34*8+D236*1.45*4</f>
        <v>35364.364</v>
      </c>
      <c r="V236" s="67">
        <f>D236*3*8+D236*3.56*4</f>
        <v>81860.36799999999</v>
      </c>
      <c r="W236" s="57">
        <v>16697</v>
      </c>
      <c r="X236" s="56"/>
      <c r="Y236" s="56">
        <v>19984</v>
      </c>
      <c r="Z236" s="56"/>
      <c r="AA236" s="56">
        <v>52348</v>
      </c>
      <c r="AB236" s="56"/>
      <c r="AC236" s="56"/>
      <c r="AD236" s="56"/>
      <c r="AE236" s="56"/>
      <c r="AF236" s="56"/>
      <c r="AG236" s="56"/>
      <c r="AH236" s="56">
        <v>2098</v>
      </c>
      <c r="AI236" s="56"/>
      <c r="AJ236" s="56"/>
      <c r="AK236" s="56"/>
      <c r="AL236" s="67">
        <f t="shared" si="33"/>
        <v>91127</v>
      </c>
    </row>
    <row r="237" spans="1:38" ht="15.75">
      <c r="A237" s="63" t="s">
        <v>138</v>
      </c>
      <c r="B237" s="63" t="s">
        <v>35</v>
      </c>
      <c r="C237" s="63" t="s">
        <v>2</v>
      </c>
      <c r="D237" s="83">
        <v>9761.7</v>
      </c>
      <c r="E237" s="63">
        <v>541634.23</v>
      </c>
      <c r="F237" s="63">
        <v>0</v>
      </c>
      <c r="G237" s="63">
        <v>0</v>
      </c>
      <c r="H237" s="63">
        <v>541634.23</v>
      </c>
      <c r="I237" s="63">
        <v>533759.8</v>
      </c>
      <c r="J237" s="66">
        <f t="shared" si="34"/>
        <v>43341.948000000004</v>
      </c>
      <c r="K237" s="66">
        <f t="shared" si="35"/>
        <v>139397.076</v>
      </c>
      <c r="L237" s="66">
        <f t="shared" si="36"/>
        <v>138225.67200000002</v>
      </c>
      <c r="M237" s="66">
        <f t="shared" si="37"/>
        <v>30456.504000000004</v>
      </c>
      <c r="N237" s="66">
        <f t="shared" si="38"/>
        <v>7028.424</v>
      </c>
      <c r="O237" s="66">
        <f t="shared" si="39"/>
        <v>21475.74</v>
      </c>
      <c r="P237" s="66">
        <v>2194.88</v>
      </c>
      <c r="Q237" s="63"/>
      <c r="R237" s="63"/>
      <c r="S237" s="66">
        <f>D237*0.55*8+D237*0.59</f>
        <v>48710.883</v>
      </c>
      <c r="T237" s="67">
        <f>SUM(J237:S237)</f>
        <v>430831.127</v>
      </c>
      <c r="U237" s="67">
        <f>D237*1.34*8+D237*1.45*4</f>
        <v>161263.284</v>
      </c>
      <c r="V237" s="67">
        <f>D237*3*8+D237*3.56*4</f>
        <v>373287.40800000005</v>
      </c>
      <c r="W237" s="57">
        <v>15356</v>
      </c>
      <c r="X237" s="56"/>
      <c r="Y237" s="56"/>
      <c r="Z237" s="56"/>
      <c r="AA237" s="56">
        <v>8139</v>
      </c>
      <c r="AB237" s="56">
        <v>30885</v>
      </c>
      <c r="AC237" s="56"/>
      <c r="AD237" s="56"/>
      <c r="AE237" s="56">
        <v>48107</v>
      </c>
      <c r="AF237" s="56">
        <v>653</v>
      </c>
      <c r="AG237" s="56"/>
      <c r="AH237" s="56">
        <v>29736</v>
      </c>
      <c r="AI237" s="56">
        <v>74448</v>
      </c>
      <c r="AJ237" s="56">
        <v>3637</v>
      </c>
      <c r="AK237" s="56"/>
      <c r="AL237" s="67">
        <f t="shared" si="33"/>
        <v>210961</v>
      </c>
    </row>
    <row r="238" spans="1:38" ht="15.75">
      <c r="A238" s="63" t="s">
        <v>140</v>
      </c>
      <c r="B238" s="63" t="s">
        <v>40</v>
      </c>
      <c r="C238" s="63" t="s">
        <v>2</v>
      </c>
      <c r="D238" s="83">
        <v>50.2</v>
      </c>
      <c r="E238" s="63">
        <v>2550.16</v>
      </c>
      <c r="F238" s="63">
        <v>0</v>
      </c>
      <c r="G238" s="63">
        <v>0</v>
      </c>
      <c r="H238" s="63">
        <v>2550.16</v>
      </c>
      <c r="I238" s="63">
        <v>2212.31</v>
      </c>
      <c r="J238" s="66">
        <f t="shared" si="34"/>
        <v>222.888</v>
      </c>
      <c r="K238" s="66">
        <f t="shared" si="35"/>
        <v>716.856</v>
      </c>
      <c r="L238" s="66">
        <f t="shared" si="36"/>
        <v>710.832</v>
      </c>
      <c r="M238" s="66">
        <f t="shared" si="37"/>
        <v>156.62400000000002</v>
      </c>
      <c r="N238" s="66">
        <f t="shared" si="38"/>
        <v>36.144</v>
      </c>
      <c r="O238" s="66">
        <f t="shared" si="39"/>
        <v>110.44</v>
      </c>
      <c r="P238" s="66"/>
      <c r="Q238" s="63"/>
      <c r="R238" s="63">
        <v>2642.5</v>
      </c>
      <c r="S238" s="63"/>
      <c r="T238" s="87"/>
      <c r="U238" s="87"/>
      <c r="V238" s="87"/>
      <c r="W238" s="57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67">
        <f t="shared" si="33"/>
        <v>0</v>
      </c>
    </row>
    <row r="239" spans="1:38" ht="15.75">
      <c r="A239" s="63" t="s">
        <v>141</v>
      </c>
      <c r="B239" s="63" t="s">
        <v>1</v>
      </c>
      <c r="C239" s="63" t="s">
        <v>2</v>
      </c>
      <c r="D239" s="83">
        <v>3472.4</v>
      </c>
      <c r="E239" s="63">
        <v>192698.48</v>
      </c>
      <c r="F239" s="63">
        <v>0</v>
      </c>
      <c r="G239" s="63">
        <v>0</v>
      </c>
      <c r="H239" s="63">
        <v>192698.48</v>
      </c>
      <c r="I239" s="63">
        <v>183928.73</v>
      </c>
      <c r="J239" s="66">
        <f t="shared" si="34"/>
        <v>15417.456000000002</v>
      </c>
      <c r="K239" s="66">
        <f t="shared" si="35"/>
        <v>49585.872</v>
      </c>
      <c r="L239" s="66">
        <f t="shared" si="36"/>
        <v>49169.183999999994</v>
      </c>
      <c r="M239" s="66">
        <f t="shared" si="37"/>
        <v>10833.888</v>
      </c>
      <c r="N239" s="66">
        <f t="shared" si="38"/>
        <v>2500.1279999999997</v>
      </c>
      <c r="O239" s="66">
        <f t="shared" si="39"/>
        <v>7639.280000000001</v>
      </c>
      <c r="P239" s="66">
        <v>1097.44</v>
      </c>
      <c r="Q239" s="63"/>
      <c r="R239" s="63"/>
      <c r="S239" s="63"/>
      <c r="T239" s="87"/>
      <c r="U239" s="87"/>
      <c r="V239" s="87"/>
      <c r="W239" s="57">
        <v>7140</v>
      </c>
      <c r="X239" s="56"/>
      <c r="Y239" s="56"/>
      <c r="Z239" s="56">
        <v>884</v>
      </c>
      <c r="AA239" s="56">
        <v>13683</v>
      </c>
      <c r="AB239" s="56"/>
      <c r="AC239" s="56"/>
      <c r="AD239" s="56"/>
      <c r="AE239" s="56"/>
      <c r="AF239" s="56"/>
      <c r="AG239" s="56"/>
      <c r="AH239" s="56">
        <v>183</v>
      </c>
      <c r="AI239" s="56"/>
      <c r="AJ239" s="56"/>
      <c r="AK239" s="56"/>
      <c r="AL239" s="67">
        <f t="shared" si="33"/>
        <v>21890</v>
      </c>
    </row>
    <row r="240" spans="1:38" ht="15.75">
      <c r="A240" s="63" t="s">
        <v>141</v>
      </c>
      <c r="B240" s="63" t="s">
        <v>71</v>
      </c>
      <c r="C240" s="63" t="s">
        <v>2</v>
      </c>
      <c r="D240" s="83">
        <v>4902.7</v>
      </c>
      <c r="E240" s="63">
        <v>280854.24</v>
      </c>
      <c r="F240" s="63">
        <v>0</v>
      </c>
      <c r="G240" s="63">
        <v>0</v>
      </c>
      <c r="H240" s="63">
        <v>280854.24</v>
      </c>
      <c r="I240" s="63">
        <v>277121.1</v>
      </c>
      <c r="J240" s="66">
        <f aca="true" t="shared" si="46" ref="J240:J245">D240*8*0.36+D240*0.39*4</f>
        <v>21767.987999999998</v>
      </c>
      <c r="K240" s="66">
        <f aca="true" t="shared" si="47" ref="K240:K245">D240*1.19*12</f>
        <v>70010.556</v>
      </c>
      <c r="L240" s="66">
        <f aca="true" t="shared" si="48" ref="L240:L245">D240*1.18*12</f>
        <v>69422.23199999999</v>
      </c>
      <c r="M240" s="66">
        <f aca="true" t="shared" si="49" ref="M240:M245">D240*0.26*12</f>
        <v>15296.423999999999</v>
      </c>
      <c r="N240" s="66">
        <f aca="true" t="shared" si="50" ref="N240:N245">D240*0.06*12</f>
        <v>3529.9439999999995</v>
      </c>
      <c r="O240" s="66">
        <f aca="true" t="shared" si="51" ref="O240:O245">D240*0.18*8+D240*0.19*4</f>
        <v>10785.939999999999</v>
      </c>
      <c r="P240" s="66">
        <v>1285.16</v>
      </c>
      <c r="Q240" s="63">
        <v>14905.72</v>
      </c>
      <c r="R240" s="63"/>
      <c r="S240" s="66">
        <f>D246*0.55*8+D246*0.59</f>
        <v>13440.066</v>
      </c>
      <c r="T240" s="67">
        <f>SUM(J240:S240)</f>
        <v>220444.02999999997</v>
      </c>
      <c r="U240" s="67">
        <f>D246*1.34*8+D246*1.45*4</f>
        <v>44494.968</v>
      </c>
      <c r="V240" s="67">
        <f>D246*3*8+D246*3.56*4</f>
        <v>102995.61600000001</v>
      </c>
      <c r="W240" s="57">
        <v>46856</v>
      </c>
      <c r="X240" s="56">
        <v>5028</v>
      </c>
      <c r="Y240" s="56">
        <v>49761</v>
      </c>
      <c r="Z240" s="56">
        <v>4578</v>
      </c>
      <c r="AA240" s="56">
        <v>367771</v>
      </c>
      <c r="AB240" s="56"/>
      <c r="AC240" s="56"/>
      <c r="AD240" s="56"/>
      <c r="AE240" s="56"/>
      <c r="AF240" s="56">
        <v>1218</v>
      </c>
      <c r="AG240" s="56"/>
      <c r="AH240" s="56">
        <v>13806</v>
      </c>
      <c r="AI240" s="56">
        <v>13489</v>
      </c>
      <c r="AJ240" s="56"/>
      <c r="AK240" s="56"/>
      <c r="AL240" s="67">
        <f t="shared" si="33"/>
        <v>502507</v>
      </c>
    </row>
    <row r="241" spans="1:38" ht="15.75">
      <c r="A241" s="63" t="s">
        <v>141</v>
      </c>
      <c r="B241" s="63" t="s">
        <v>65</v>
      </c>
      <c r="C241" s="63" t="s">
        <v>2</v>
      </c>
      <c r="D241" s="83">
        <v>4891.4</v>
      </c>
      <c r="E241" s="63">
        <v>284462.88</v>
      </c>
      <c r="F241" s="63">
        <v>0</v>
      </c>
      <c r="G241" s="63">
        <v>1270</v>
      </c>
      <c r="H241" s="63">
        <v>283192.88</v>
      </c>
      <c r="I241" s="63">
        <v>274819</v>
      </c>
      <c r="J241" s="66">
        <f t="shared" si="46"/>
        <v>21717.816</v>
      </c>
      <c r="K241" s="66">
        <f t="shared" si="47"/>
        <v>69849.192</v>
      </c>
      <c r="L241" s="66">
        <f t="shared" si="48"/>
        <v>69262.22399999999</v>
      </c>
      <c r="M241" s="66">
        <f t="shared" si="49"/>
        <v>15261.167999999998</v>
      </c>
      <c r="N241" s="66">
        <f t="shared" si="50"/>
        <v>3521.808</v>
      </c>
      <c r="O241" s="66">
        <f t="shared" si="51"/>
        <v>10761.079999999998</v>
      </c>
      <c r="P241" s="66">
        <v>2130.3</v>
      </c>
      <c r="Q241" s="63"/>
      <c r="R241" s="63"/>
      <c r="S241" s="66">
        <f>D248*0.55*8+D248*0.59</f>
        <v>3695.5940000000005</v>
      </c>
      <c r="T241" s="67">
        <f>SUM(J241:S241)</f>
        <v>196199.18199999997</v>
      </c>
      <c r="U241" s="67"/>
      <c r="V241" s="67">
        <f>D248*3*8+D248*3.56*4</f>
        <v>28320.544</v>
      </c>
      <c r="W241" s="57">
        <v>6919</v>
      </c>
      <c r="X241" s="56"/>
      <c r="Y241" s="56">
        <v>63030</v>
      </c>
      <c r="Z241" s="56"/>
      <c r="AA241" s="56"/>
      <c r="AB241" s="56"/>
      <c r="AC241" s="56"/>
      <c r="AD241" s="56"/>
      <c r="AE241" s="56"/>
      <c r="AF241" s="56">
        <v>1944</v>
      </c>
      <c r="AG241" s="56"/>
      <c r="AH241" s="56">
        <v>15368</v>
      </c>
      <c r="AI241" s="56"/>
      <c r="AJ241" s="56">
        <v>26508</v>
      </c>
      <c r="AK241" s="56"/>
      <c r="AL241" s="67">
        <f t="shared" si="33"/>
        <v>113769</v>
      </c>
    </row>
    <row r="242" spans="1:38" ht="15.75">
      <c r="A242" s="63" t="s">
        <v>141</v>
      </c>
      <c r="B242" s="63" t="s">
        <v>73</v>
      </c>
      <c r="C242" s="63" t="s">
        <v>2</v>
      </c>
      <c r="D242" s="83">
        <v>3564.9</v>
      </c>
      <c r="E242" s="63">
        <v>216512.59</v>
      </c>
      <c r="F242" s="63">
        <v>0</v>
      </c>
      <c r="G242" s="63">
        <v>1016</v>
      </c>
      <c r="H242" s="63">
        <v>215496.59</v>
      </c>
      <c r="I242" s="63">
        <v>203382.78</v>
      </c>
      <c r="J242" s="66">
        <f t="shared" si="46"/>
        <v>15828.156</v>
      </c>
      <c r="K242" s="66">
        <f t="shared" si="47"/>
        <v>50906.772</v>
      </c>
      <c r="L242" s="66">
        <f t="shared" si="48"/>
        <v>50478.984000000004</v>
      </c>
      <c r="M242" s="66">
        <f t="shared" si="49"/>
        <v>11122.488000000001</v>
      </c>
      <c r="N242" s="66">
        <f t="shared" si="50"/>
        <v>2566.728</v>
      </c>
      <c r="O242" s="66">
        <f t="shared" si="51"/>
        <v>7842.780000000001</v>
      </c>
      <c r="P242" s="66">
        <v>1155.2</v>
      </c>
      <c r="Q242" s="63">
        <v>13397.85</v>
      </c>
      <c r="R242" s="63"/>
      <c r="S242" s="66">
        <f>D249*0.55*8+D249*0.59</f>
        <v>23543.319000000003</v>
      </c>
      <c r="T242" s="67">
        <f>SUM(J242:S242)</f>
        <v>176842.27700000006</v>
      </c>
      <c r="U242" s="67">
        <f>D249*1.34*8+D249*1.45*4</f>
        <v>77943.012</v>
      </c>
      <c r="V242" s="67">
        <f>D249*3*8+D249*3.56*4</f>
        <v>180420.14400000003</v>
      </c>
      <c r="W242" s="57">
        <v>13963</v>
      </c>
      <c r="X242" s="56"/>
      <c r="Y242" s="56"/>
      <c r="Z242" s="56">
        <v>2211</v>
      </c>
      <c r="AA242" s="56"/>
      <c r="AB242" s="56">
        <v>60264</v>
      </c>
      <c r="AC242" s="56">
        <v>5282</v>
      </c>
      <c r="AD242" s="56"/>
      <c r="AE242" s="56"/>
      <c r="AF242" s="56"/>
      <c r="AG242" s="56"/>
      <c r="AH242" s="56"/>
      <c r="AI242" s="56"/>
      <c r="AJ242" s="56"/>
      <c r="AK242" s="56"/>
      <c r="AL242" s="67">
        <f t="shared" si="33"/>
        <v>81720</v>
      </c>
    </row>
    <row r="243" spans="1:38" ht="15.75">
      <c r="A243" s="63" t="s">
        <v>141</v>
      </c>
      <c r="B243" s="63" t="s">
        <v>67</v>
      </c>
      <c r="C243" s="63" t="s">
        <v>66</v>
      </c>
      <c r="D243" s="83">
        <v>5789.6</v>
      </c>
      <c r="E243" s="63">
        <v>340995.55</v>
      </c>
      <c r="F243" s="63">
        <v>-258.03</v>
      </c>
      <c r="G243" s="63">
        <v>0</v>
      </c>
      <c r="H243" s="63">
        <v>340737.52</v>
      </c>
      <c r="I243" s="63">
        <v>330209.26</v>
      </c>
      <c r="J243" s="66">
        <f t="shared" si="46"/>
        <v>25705.824</v>
      </c>
      <c r="K243" s="66">
        <f t="shared" si="47"/>
        <v>82675.488</v>
      </c>
      <c r="L243" s="66">
        <f t="shared" si="48"/>
        <v>81980.736</v>
      </c>
      <c r="M243" s="66">
        <f t="shared" si="49"/>
        <v>18063.552</v>
      </c>
      <c r="N243" s="66">
        <f t="shared" si="50"/>
        <v>4168.512000000001</v>
      </c>
      <c r="O243" s="66">
        <f t="shared" si="51"/>
        <v>12737.119999999999</v>
      </c>
      <c r="P243" s="66">
        <v>2816.73</v>
      </c>
      <c r="Q243" s="63">
        <v>19930.12</v>
      </c>
      <c r="R243" s="63"/>
      <c r="S243" s="66">
        <f>D250*0.55*8+D250*0.59</f>
        <v>16742.448</v>
      </c>
      <c r="T243" s="67">
        <f>SUM(J243:S243)</f>
        <v>264820.52999999997</v>
      </c>
      <c r="U243" s="67">
        <f>D250*1.34*8+D250*1.45*4</f>
        <v>55427.903999999995</v>
      </c>
      <c r="V243" s="67">
        <f>D250*3*8+D250*3.56*4</f>
        <v>128302.84799999998</v>
      </c>
      <c r="W243" s="57">
        <v>3214</v>
      </c>
      <c r="X243" s="56"/>
      <c r="Y243" s="56"/>
      <c r="Z243" s="56">
        <v>4527</v>
      </c>
      <c r="AA243" s="56"/>
      <c r="AB243" s="56">
        <v>13075</v>
      </c>
      <c r="AC243" s="56"/>
      <c r="AD243" s="56"/>
      <c r="AE243" s="56"/>
      <c r="AF243" s="56"/>
      <c r="AG243" s="56"/>
      <c r="AH243" s="56">
        <v>5289</v>
      </c>
      <c r="AI243" s="56"/>
      <c r="AJ243" s="56">
        <v>274</v>
      </c>
      <c r="AK243" s="56"/>
      <c r="AL243" s="67">
        <f t="shared" si="33"/>
        <v>26379</v>
      </c>
    </row>
    <row r="244" spans="1:38" ht="15.75">
      <c r="A244" s="63" t="s">
        <v>141</v>
      </c>
      <c r="B244" s="63" t="s">
        <v>67</v>
      </c>
      <c r="C244" s="63" t="s">
        <v>111</v>
      </c>
      <c r="D244" s="83">
        <v>4430.2</v>
      </c>
      <c r="E244" s="63">
        <v>274443.72</v>
      </c>
      <c r="F244" s="63">
        <v>523.25</v>
      </c>
      <c r="G244" s="63">
        <v>2111.2</v>
      </c>
      <c r="H244" s="63">
        <v>272855.77</v>
      </c>
      <c r="I244" s="63">
        <v>266770.91</v>
      </c>
      <c r="J244" s="66">
        <f t="shared" si="46"/>
        <v>19670.088</v>
      </c>
      <c r="K244" s="66">
        <f t="shared" si="47"/>
        <v>63263.255999999994</v>
      </c>
      <c r="L244" s="66">
        <f t="shared" si="48"/>
        <v>62731.632</v>
      </c>
      <c r="M244" s="66">
        <f t="shared" si="49"/>
        <v>13822.224000000002</v>
      </c>
      <c r="N244" s="66">
        <f t="shared" si="50"/>
        <v>3189.7439999999997</v>
      </c>
      <c r="O244" s="66">
        <f t="shared" si="51"/>
        <v>9746.439999999999</v>
      </c>
      <c r="P244" s="66">
        <v>2130.3</v>
      </c>
      <c r="Q244" s="63">
        <v>15073.2</v>
      </c>
      <c r="R244" s="63"/>
      <c r="S244" s="66">
        <f>D251*0.55*8+D251*0.59</f>
        <v>22224.961</v>
      </c>
      <c r="T244" s="67">
        <f>SUM(J244:S244)</f>
        <v>211851.84500000003</v>
      </c>
      <c r="U244" s="67">
        <f>D251*1.34*8+D251*1.45*4</f>
        <v>73578.42799999999</v>
      </c>
      <c r="V244" s="67">
        <f>D251*3*8+D251*3.56*4</f>
        <v>170317.136</v>
      </c>
      <c r="W244" s="57">
        <v>5575</v>
      </c>
      <c r="X244" s="56">
        <v>35196</v>
      </c>
      <c r="Y244" s="56"/>
      <c r="Z244" s="56">
        <v>7689</v>
      </c>
      <c r="AA244" s="56"/>
      <c r="AB244" s="56"/>
      <c r="AC244" s="56">
        <v>4524</v>
      </c>
      <c r="AD244" s="56"/>
      <c r="AE244" s="56"/>
      <c r="AF244" s="56"/>
      <c r="AG244" s="56"/>
      <c r="AH244" s="56">
        <v>2348</v>
      </c>
      <c r="AI244" s="56"/>
      <c r="AJ244" s="56"/>
      <c r="AK244" s="56"/>
      <c r="AL244" s="67">
        <f t="shared" si="33"/>
        <v>55332</v>
      </c>
    </row>
    <row r="245" spans="1:38" ht="15.75">
      <c r="A245" s="63" t="s">
        <v>141</v>
      </c>
      <c r="B245" s="63" t="s">
        <v>129</v>
      </c>
      <c r="C245" s="63" t="s">
        <v>2</v>
      </c>
      <c r="D245" s="83">
        <v>3540.2</v>
      </c>
      <c r="E245" s="63">
        <v>209447.56</v>
      </c>
      <c r="F245" s="63">
        <v>-4150.99</v>
      </c>
      <c r="G245" s="63">
        <v>2111.2</v>
      </c>
      <c r="H245" s="63">
        <v>203185.37</v>
      </c>
      <c r="I245" s="63">
        <v>205464.64</v>
      </c>
      <c r="J245" s="66">
        <f t="shared" si="46"/>
        <v>15718.488</v>
      </c>
      <c r="K245" s="66">
        <f t="shared" si="47"/>
        <v>50554.056</v>
      </c>
      <c r="L245" s="66">
        <f t="shared" si="48"/>
        <v>50129.231999999996</v>
      </c>
      <c r="M245" s="66">
        <f t="shared" si="49"/>
        <v>11045.423999999999</v>
      </c>
      <c r="N245" s="66">
        <f t="shared" si="50"/>
        <v>2548.9439999999995</v>
      </c>
      <c r="O245" s="66">
        <f t="shared" si="51"/>
        <v>7788.44</v>
      </c>
      <c r="P245" s="66">
        <v>1155.2</v>
      </c>
      <c r="Q245" s="63">
        <v>13397.85</v>
      </c>
      <c r="R245" s="63"/>
      <c r="S245" s="66">
        <f>D240*0.55*8+D240*0.59</f>
        <v>24464.473</v>
      </c>
      <c r="T245" s="67">
        <f>SUM(J245:S245)</f>
        <v>176802.107</v>
      </c>
      <c r="U245" s="67">
        <f>D240*1.34*8+D240*1.45*4</f>
        <v>80992.604</v>
      </c>
      <c r="V245" s="67">
        <f>D240*3*8+D240*3.56*4</f>
        <v>187479.248</v>
      </c>
      <c r="W245" s="57"/>
      <c r="X245" s="56"/>
      <c r="Y245" s="56">
        <v>8160</v>
      </c>
      <c r="Z245" s="56">
        <v>1768</v>
      </c>
      <c r="AA245" s="56"/>
      <c r="AB245" s="56"/>
      <c r="AC245" s="56"/>
      <c r="AD245" s="56"/>
      <c r="AE245" s="56"/>
      <c r="AF245" s="56"/>
      <c r="AG245" s="56">
        <v>86</v>
      </c>
      <c r="AH245" s="56"/>
      <c r="AI245" s="56"/>
      <c r="AJ245" s="56"/>
      <c r="AK245" s="56"/>
      <c r="AL245" s="67">
        <f t="shared" si="33"/>
        <v>10014</v>
      </c>
    </row>
    <row r="246" spans="1:38" ht="15.75">
      <c r="A246" s="63" t="s">
        <v>141</v>
      </c>
      <c r="B246" s="63" t="s">
        <v>69</v>
      </c>
      <c r="C246" s="63" t="s">
        <v>2</v>
      </c>
      <c r="D246" s="83">
        <v>2693.4</v>
      </c>
      <c r="E246" s="63">
        <v>144537.66</v>
      </c>
      <c r="F246" s="63">
        <v>0</v>
      </c>
      <c r="G246" s="63">
        <v>0</v>
      </c>
      <c r="H246" s="63">
        <v>144537.66</v>
      </c>
      <c r="I246" s="63">
        <v>136869.4</v>
      </c>
      <c r="J246" s="66">
        <f t="shared" si="34"/>
        <v>11958.696</v>
      </c>
      <c r="K246" s="66">
        <f t="shared" si="35"/>
        <v>38461.752</v>
      </c>
      <c r="L246" s="66">
        <f t="shared" si="36"/>
        <v>38138.544</v>
      </c>
      <c r="M246" s="66">
        <f t="shared" si="37"/>
        <v>8403.408</v>
      </c>
      <c r="N246" s="66">
        <f t="shared" si="38"/>
        <v>1939.248</v>
      </c>
      <c r="O246" s="66">
        <f t="shared" si="39"/>
        <v>5925.4800000000005</v>
      </c>
      <c r="P246" s="66">
        <v>1420.2</v>
      </c>
      <c r="Q246" s="66">
        <v>10048.8</v>
      </c>
      <c r="R246" s="63"/>
      <c r="S246" s="63"/>
      <c r="T246" s="87"/>
      <c r="U246" s="87"/>
      <c r="V246" s="87"/>
      <c r="W246" s="57">
        <v>5622</v>
      </c>
      <c r="X246" s="56"/>
      <c r="Y246" s="56"/>
      <c r="Z246" s="56">
        <v>3118</v>
      </c>
      <c r="AA246" s="56"/>
      <c r="AB246" s="56"/>
      <c r="AC246" s="56"/>
      <c r="AD246" s="56"/>
      <c r="AE246" s="56"/>
      <c r="AF246" s="56"/>
      <c r="AG246" s="56"/>
      <c r="AH246" s="56"/>
      <c r="AI246" s="56"/>
      <c r="AJ246" s="56">
        <v>584</v>
      </c>
      <c r="AK246" s="56"/>
      <c r="AL246" s="67">
        <f t="shared" si="33"/>
        <v>9324</v>
      </c>
    </row>
    <row r="247" spans="1:38" ht="15.75">
      <c r="A247" s="63" t="s">
        <v>141</v>
      </c>
      <c r="B247" s="63" t="s">
        <v>70</v>
      </c>
      <c r="C247" s="63" t="s">
        <v>2</v>
      </c>
      <c r="D247" s="83">
        <v>1342.5</v>
      </c>
      <c r="E247" s="63">
        <v>73302.32</v>
      </c>
      <c r="F247" s="63">
        <v>0</v>
      </c>
      <c r="G247" s="63">
        <v>0</v>
      </c>
      <c r="H247" s="63">
        <v>73302.32</v>
      </c>
      <c r="I247" s="63">
        <v>75397.8</v>
      </c>
      <c r="J247" s="66">
        <f t="shared" si="34"/>
        <v>5960.7</v>
      </c>
      <c r="K247" s="66">
        <f t="shared" si="35"/>
        <v>19170.899999999998</v>
      </c>
      <c r="L247" s="66">
        <f t="shared" si="36"/>
        <v>19009.8</v>
      </c>
      <c r="M247" s="66">
        <f t="shared" si="37"/>
        <v>4188.6</v>
      </c>
      <c r="N247" s="66">
        <f t="shared" si="38"/>
        <v>966.5999999999999</v>
      </c>
      <c r="O247" s="66">
        <f t="shared" si="39"/>
        <v>2953.5</v>
      </c>
      <c r="P247" s="66">
        <v>361</v>
      </c>
      <c r="Q247" s="66">
        <v>4187</v>
      </c>
      <c r="R247" s="63"/>
      <c r="S247" s="63"/>
      <c r="T247" s="87"/>
      <c r="U247" s="87"/>
      <c r="V247" s="87"/>
      <c r="W247" s="57"/>
      <c r="X247" s="56">
        <v>4413</v>
      </c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67">
        <f t="shared" si="33"/>
        <v>4413</v>
      </c>
    </row>
    <row r="248" spans="1:38" ht="15.75">
      <c r="A248" s="63" t="s">
        <v>141</v>
      </c>
      <c r="B248" s="63" t="s">
        <v>32</v>
      </c>
      <c r="C248" s="63" t="s">
        <v>2</v>
      </c>
      <c r="D248" s="83">
        <v>740.6</v>
      </c>
      <c r="E248" s="63">
        <v>38676.63</v>
      </c>
      <c r="F248" s="63">
        <v>-12767.24</v>
      </c>
      <c r="G248" s="63">
        <v>0</v>
      </c>
      <c r="H248" s="63">
        <v>25909.39</v>
      </c>
      <c r="I248" s="63">
        <v>29858.78</v>
      </c>
      <c r="J248" s="66">
        <f t="shared" si="34"/>
        <v>3288.264</v>
      </c>
      <c r="K248" s="66">
        <f t="shared" si="35"/>
        <v>10575.768</v>
      </c>
      <c r="L248" s="66">
        <f t="shared" si="36"/>
        <v>10486.896</v>
      </c>
      <c r="M248" s="66">
        <f t="shared" si="37"/>
        <v>2310.672</v>
      </c>
      <c r="N248" s="66">
        <f t="shared" si="38"/>
        <v>533.232</v>
      </c>
      <c r="O248" s="66">
        <f t="shared" si="39"/>
        <v>1629.32</v>
      </c>
      <c r="P248" s="66"/>
      <c r="Q248" s="63"/>
      <c r="R248" s="63"/>
      <c r="S248" s="63"/>
      <c r="T248" s="87"/>
      <c r="U248" s="87"/>
      <c r="V248" s="87"/>
      <c r="W248" s="57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67">
        <f t="shared" si="33"/>
        <v>0</v>
      </c>
    </row>
    <row r="249" spans="1:38" ht="15.75">
      <c r="A249" s="63" t="s">
        <v>141</v>
      </c>
      <c r="B249" s="63" t="s">
        <v>35</v>
      </c>
      <c r="C249" s="63" t="s">
        <v>66</v>
      </c>
      <c r="D249" s="83">
        <v>4718.1</v>
      </c>
      <c r="E249" s="63">
        <v>259485.4</v>
      </c>
      <c r="F249" s="63">
        <v>0</v>
      </c>
      <c r="G249" s="63">
        <v>0</v>
      </c>
      <c r="H249" s="63">
        <v>259485.4</v>
      </c>
      <c r="I249" s="63">
        <v>257028.91</v>
      </c>
      <c r="J249" s="66">
        <f t="shared" si="34"/>
        <v>20948.364</v>
      </c>
      <c r="K249" s="66">
        <f t="shared" si="35"/>
        <v>67374.468</v>
      </c>
      <c r="L249" s="66">
        <f t="shared" si="36"/>
        <v>66808.296</v>
      </c>
      <c r="M249" s="66">
        <f t="shared" si="37"/>
        <v>14720.472000000002</v>
      </c>
      <c r="N249" s="66">
        <f t="shared" si="38"/>
        <v>3397.032</v>
      </c>
      <c r="O249" s="66">
        <f t="shared" si="39"/>
        <v>10379.82</v>
      </c>
      <c r="P249" s="66">
        <v>2177.64</v>
      </c>
      <c r="Q249" s="63">
        <v>15408.16</v>
      </c>
      <c r="R249" s="63"/>
      <c r="S249" s="63"/>
      <c r="T249" s="87"/>
      <c r="U249" s="87"/>
      <c r="V249" s="87"/>
      <c r="W249" s="57">
        <v>4030</v>
      </c>
      <c r="X249" s="56"/>
      <c r="Y249" s="56"/>
      <c r="Z249" s="56">
        <v>4052</v>
      </c>
      <c r="AA249" s="56">
        <v>366580</v>
      </c>
      <c r="AB249" s="56"/>
      <c r="AC249" s="56"/>
      <c r="AD249" s="56"/>
      <c r="AE249" s="56">
        <v>17493</v>
      </c>
      <c r="AF249" s="56"/>
      <c r="AG249" s="56"/>
      <c r="AH249" s="56">
        <v>11001</v>
      </c>
      <c r="AI249" s="56"/>
      <c r="AJ249" s="56">
        <v>24343</v>
      </c>
      <c r="AK249" s="56"/>
      <c r="AL249" s="67">
        <f t="shared" si="33"/>
        <v>427499</v>
      </c>
    </row>
    <row r="250" spans="1:38" ht="15.75">
      <c r="A250" s="63" t="s">
        <v>141</v>
      </c>
      <c r="B250" s="63" t="s">
        <v>80</v>
      </c>
      <c r="C250" s="63" t="s">
        <v>66</v>
      </c>
      <c r="D250" s="83">
        <v>3355.2</v>
      </c>
      <c r="E250" s="63">
        <v>195865.48</v>
      </c>
      <c r="F250" s="63">
        <v>-182.82</v>
      </c>
      <c r="G250" s="63">
        <v>0</v>
      </c>
      <c r="H250" s="63">
        <v>195682.66</v>
      </c>
      <c r="I250" s="63">
        <v>185957.52</v>
      </c>
      <c r="J250" s="66">
        <f t="shared" si="34"/>
        <v>14897.088</v>
      </c>
      <c r="K250" s="66">
        <f t="shared" si="35"/>
        <v>47912.255999999994</v>
      </c>
      <c r="L250" s="66">
        <f t="shared" si="36"/>
        <v>47509.632</v>
      </c>
      <c r="M250" s="66">
        <f t="shared" si="37"/>
        <v>10468.224</v>
      </c>
      <c r="N250" s="66">
        <f t="shared" si="38"/>
        <v>2415.7439999999997</v>
      </c>
      <c r="O250" s="66">
        <f t="shared" si="39"/>
        <v>7381.439999999999</v>
      </c>
      <c r="P250" s="66">
        <v>1562.22</v>
      </c>
      <c r="Q250" s="63">
        <v>11053.68</v>
      </c>
      <c r="R250" s="63"/>
      <c r="S250" s="66">
        <f>D238*0.55*8+D238*0.59</f>
        <v>250.49800000000002</v>
      </c>
      <c r="T250" s="67">
        <f>SUM(J250:S250)</f>
        <v>143450.78199999998</v>
      </c>
      <c r="U250" s="67">
        <f>D238*1.34*8+D238*1.45*4</f>
        <v>829.3040000000001</v>
      </c>
      <c r="V250" s="67">
        <f>D238*3*8+D238*3.56*4</f>
        <v>1919.6480000000001</v>
      </c>
      <c r="W250" s="57"/>
      <c r="X250" s="56">
        <v>9260</v>
      </c>
      <c r="Y250" s="56"/>
      <c r="Z250" s="56">
        <v>1741</v>
      </c>
      <c r="AA250" s="56">
        <v>262779</v>
      </c>
      <c r="AB250" s="56">
        <v>1021</v>
      </c>
      <c r="AC250" s="56"/>
      <c r="AD250" s="56"/>
      <c r="AE250" s="56">
        <v>17493</v>
      </c>
      <c r="AF250" s="56">
        <v>1616</v>
      </c>
      <c r="AG250" s="56"/>
      <c r="AH250" s="56">
        <v>2348</v>
      </c>
      <c r="AI250" s="56"/>
      <c r="AJ250" s="56">
        <v>17693</v>
      </c>
      <c r="AK250" s="56"/>
      <c r="AL250" s="67">
        <f t="shared" si="33"/>
        <v>313951</v>
      </c>
    </row>
    <row r="251" spans="1:38" ht="15.75">
      <c r="A251" s="63" t="s">
        <v>141</v>
      </c>
      <c r="B251" s="63" t="s">
        <v>80</v>
      </c>
      <c r="C251" s="63" t="s">
        <v>111</v>
      </c>
      <c r="D251" s="83">
        <v>4453.9</v>
      </c>
      <c r="E251" s="63">
        <v>239949.2</v>
      </c>
      <c r="F251" s="63">
        <v>-94.64</v>
      </c>
      <c r="G251" s="63">
        <v>1270</v>
      </c>
      <c r="H251" s="63">
        <v>238584.56</v>
      </c>
      <c r="I251" s="63">
        <v>231253.08</v>
      </c>
      <c r="J251" s="66">
        <f t="shared" si="34"/>
        <v>19775.316</v>
      </c>
      <c r="K251" s="66">
        <f t="shared" si="35"/>
        <v>63601.691999999995</v>
      </c>
      <c r="L251" s="66">
        <f t="shared" si="36"/>
        <v>63067.22399999999</v>
      </c>
      <c r="M251" s="66">
        <f t="shared" si="37"/>
        <v>13896.167999999998</v>
      </c>
      <c r="N251" s="66">
        <f t="shared" si="38"/>
        <v>3206.808</v>
      </c>
      <c r="O251" s="66">
        <f t="shared" si="39"/>
        <v>9798.579999999998</v>
      </c>
      <c r="P251" s="66">
        <v>1459.56</v>
      </c>
      <c r="Q251" s="63">
        <v>16580.52</v>
      </c>
      <c r="R251" s="63"/>
      <c r="S251" s="66">
        <f>D239*0.55*8+D239*0.59</f>
        <v>17327.276</v>
      </c>
      <c r="T251" s="67">
        <f>SUM(J251:S251)</f>
        <v>208713.14399999997</v>
      </c>
      <c r="U251" s="67">
        <f>D239*1.34*8+D239*1.45*4</f>
        <v>57364.048</v>
      </c>
      <c r="V251" s="67">
        <f>D239*3*8+D239*3.56*4</f>
        <v>132784.576</v>
      </c>
      <c r="W251" s="57">
        <v>12035</v>
      </c>
      <c r="X251" s="56"/>
      <c r="Y251" s="56"/>
      <c r="Z251" s="56"/>
      <c r="AA251" s="56"/>
      <c r="AB251" s="56"/>
      <c r="AC251" s="56"/>
      <c r="AD251" s="56"/>
      <c r="AE251" s="56">
        <v>9550</v>
      </c>
      <c r="AF251" s="56">
        <v>4848</v>
      </c>
      <c r="AG251" s="56"/>
      <c r="AH251" s="56">
        <v>6414</v>
      </c>
      <c r="AI251" s="56"/>
      <c r="AJ251" s="56"/>
      <c r="AK251" s="56"/>
      <c r="AL251" s="67">
        <f t="shared" si="33"/>
        <v>32847</v>
      </c>
    </row>
    <row r="252" spans="1:38" ht="15.75">
      <c r="A252" s="63" t="s">
        <v>141</v>
      </c>
      <c r="B252" s="63" t="s">
        <v>11</v>
      </c>
      <c r="C252" s="63" t="s">
        <v>2</v>
      </c>
      <c r="D252" s="83">
        <v>764.4</v>
      </c>
      <c r="E252" s="63">
        <v>44790.73</v>
      </c>
      <c r="F252" s="63">
        <v>0</v>
      </c>
      <c r="G252" s="63">
        <v>0</v>
      </c>
      <c r="H252" s="63">
        <v>44790.73</v>
      </c>
      <c r="I252" s="63">
        <v>41372.3</v>
      </c>
      <c r="J252" s="66">
        <f t="shared" si="34"/>
        <v>3393.9359999999997</v>
      </c>
      <c r="K252" s="66">
        <f t="shared" si="35"/>
        <v>10915.632</v>
      </c>
      <c r="L252" s="66">
        <f t="shared" si="36"/>
        <v>10823.903999999999</v>
      </c>
      <c r="M252" s="66">
        <f t="shared" si="37"/>
        <v>2384.928</v>
      </c>
      <c r="N252" s="66">
        <f t="shared" si="38"/>
        <v>550.3679999999999</v>
      </c>
      <c r="O252" s="66">
        <f t="shared" si="39"/>
        <v>1681.6799999999998</v>
      </c>
      <c r="P252" s="66">
        <v>924.48</v>
      </c>
      <c r="Q252" s="63">
        <v>3014.64</v>
      </c>
      <c r="R252" s="63"/>
      <c r="S252" s="66">
        <f>D247*0.55*8+D247*0.59</f>
        <v>6699.075000000001</v>
      </c>
      <c r="T252" s="67">
        <f>SUM(J252:S252)</f>
        <v>40388.643</v>
      </c>
      <c r="U252" s="67">
        <f>D247*1.34*8+D247*1.45*4</f>
        <v>22178.1</v>
      </c>
      <c r="V252" s="67">
        <f>D247*3*8+D247*3.56*4</f>
        <v>51337.2</v>
      </c>
      <c r="W252" s="57"/>
      <c r="X252" s="56">
        <v>13113</v>
      </c>
      <c r="Y252" s="56"/>
      <c r="Z252" s="56">
        <v>2786</v>
      </c>
      <c r="AA252" s="56"/>
      <c r="AB252" s="56"/>
      <c r="AC252" s="56">
        <v>815</v>
      </c>
      <c r="AD252" s="56"/>
      <c r="AE252" s="56"/>
      <c r="AF252" s="56">
        <v>7502</v>
      </c>
      <c r="AG252" s="56"/>
      <c r="AH252" s="56"/>
      <c r="AI252" s="56"/>
      <c r="AJ252" s="56"/>
      <c r="AK252" s="56"/>
      <c r="AL252" s="67">
        <f t="shared" si="33"/>
        <v>24216</v>
      </c>
    </row>
    <row r="253" spans="23:38" ht="15.75">
      <c r="W253" s="82">
        <f>SUM(W7:W252)+43.931</f>
        <v>2300811.931</v>
      </c>
      <c r="X253" s="78">
        <f>SUM(X7:X252)</f>
        <v>732407</v>
      </c>
      <c r="Y253" s="78">
        <f>SUM(Y7:Y252)</f>
        <v>1718142</v>
      </c>
      <c r="Z253" s="78">
        <f>SUM(Z7:Z252)</f>
        <v>652183</v>
      </c>
      <c r="AA253" s="78">
        <f>SUM(AA7:AA252)</f>
        <v>9478128.925</v>
      </c>
      <c r="AB253" s="78">
        <f>SUM(AB7:AB252)</f>
        <v>1047622</v>
      </c>
      <c r="AC253" s="78">
        <f>SUM(AC7:AC252)+0.036</f>
        <v>222329.036</v>
      </c>
      <c r="AD253" s="78">
        <f>SUM(AD7:AD252)</f>
        <v>0</v>
      </c>
      <c r="AE253" s="78">
        <f>SUM(AE7:AE252)</f>
        <v>1447177</v>
      </c>
      <c r="AF253" s="78">
        <f>SUM(AF7:AF252)+5.541</f>
        <v>677902.541</v>
      </c>
      <c r="AG253" s="78">
        <f>SUM(AG7:AG252)+10.764</f>
        <v>659469.764</v>
      </c>
      <c r="AH253" s="78">
        <f>SUM(AH7:AH252)+15.174</f>
        <v>1237520.174</v>
      </c>
      <c r="AI253" s="78">
        <f>SUM(AI7:AI252)</f>
        <v>589764</v>
      </c>
      <c r="AJ253" s="78">
        <f>SUM(AJ7:AJ252)</f>
        <v>838130</v>
      </c>
      <c r="AK253" s="78">
        <f>SUM(AK7:AK252)</f>
        <v>5708</v>
      </c>
      <c r="AL253" s="78">
        <f>SUM(AL7:AL252)</f>
        <v>21607219.925</v>
      </c>
    </row>
    <row r="254" spans="23:37" ht="15.75">
      <c r="W254" s="59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</row>
    <row r="255" spans="23:37" ht="15.75">
      <c r="W255" s="59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</row>
  </sheetData>
  <sheetProtection/>
  <mergeCells count="7">
    <mergeCell ref="J4:T4"/>
    <mergeCell ref="U4:U6"/>
    <mergeCell ref="V4:V6"/>
    <mergeCell ref="W4:AC4"/>
    <mergeCell ref="D4:I5"/>
    <mergeCell ref="A4:C5"/>
    <mergeCell ref="J5:T5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</dc:creator>
  <cp:keywords/>
  <dc:description/>
  <cp:lastModifiedBy>kupcovang</cp:lastModifiedBy>
  <cp:lastPrinted>2013-07-04T07:14:02Z</cp:lastPrinted>
  <dcterms:created xsi:type="dcterms:W3CDTF">2012-04-10T11:13:28Z</dcterms:created>
  <dcterms:modified xsi:type="dcterms:W3CDTF">2013-07-09T13:40:25Z</dcterms:modified>
  <cp:category/>
  <cp:version/>
  <cp:contentType/>
  <cp:contentStatus/>
</cp:coreProperties>
</file>